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Перечень" sheetId="1" r:id="rId1"/>
    <sheet name="Форма КЗ" sheetId="2" r:id="rId2"/>
  </sheets>
  <definedNames/>
  <calcPr fullCalcOnLoad="1"/>
</workbook>
</file>

<file path=xl/sharedStrings.xml><?xml version="1.0" encoding="utf-8"?>
<sst xmlns="http://schemas.openxmlformats.org/spreadsheetml/2006/main" count="238" uniqueCount="92">
  <si>
    <t>Объект электроэнергетики</t>
  </si>
  <si>
    <t>P, 
МВт</t>
  </si>
  <si>
    <t>Q, 
Мвар</t>
  </si>
  <si>
    <t>Iа, 
А</t>
  </si>
  <si>
    <t>Iв, 
А</t>
  </si>
  <si>
    <t>Iс, 
А</t>
  </si>
  <si>
    <t>U, 
кВ</t>
  </si>
  <si>
    <t>№ 
УРКТ</t>
  </si>
  <si>
    <t>Ктр</t>
  </si>
  <si>
    <t>Присоединение</t>
  </si>
  <si>
    <t>Объект электроэнергетики - наименование подстанции;</t>
  </si>
  <si>
    <t>Присоединение - диспетчерское наименование каждого присоединения РУ;</t>
  </si>
  <si>
    <t xml:space="preserve">Система (секция) шин, на которую зафиксировано присоединение/ генератор/ СКРМ - диспетчерское наименование системы (секции) шины РУ объекта электроэнергетики, на которую в момент контрольного замера было зафиксировано соответствующее присоединение, генератор или СКРМ. </t>
  </si>
  <si>
    <t>«Р, МВт» − мгновенное значение перетока активной мощности, протекающего по присоединению. За положительное направление перетока активной мощности для всех присоединений принимается направление к шинам РУ.</t>
  </si>
  <si>
    <t>«Q, МВт» − мгновенное значение перетока реактивной мощности, протекающего по присоединению. За положительное направление перетока реактивной мощности для всех присоединений принимается направление к шинам РУ.</t>
  </si>
  <si>
    <t>В столбцах «Ia, А», «Ib, А» «Ic, А» необходимо указать мгновенные значения токовой нагрузки соответствующей фазы (А, В, С) присоединения.</t>
  </si>
  <si>
    <t>«U, кВ» необходимо указать мгновенное значение линейного (междуфазного) напряжения ТН присоединения (при наличии).</t>
  </si>
  <si>
    <t>«№ УРКТ» необходимо указать номер анцапфы УРКТ, установленного на соответствующей обмотке трансформатора или автотрансформатора.</t>
  </si>
  <si>
    <t>В столбце «Ктр» необходимо указать коэффициент трансформации трансформатора или автотрансформатора, соответствующего УРНТ.</t>
  </si>
  <si>
    <t>Система (секция) шин, на которую зафиксировано присоединение/генератор/СКРМ</t>
  </si>
  <si>
    <t>время МСК</t>
  </si>
  <si>
    <t>Примечание:</t>
  </si>
  <si>
    <t>Наименование организации</t>
  </si>
  <si>
    <t>АО "Сибкабель"</t>
  </si>
  <si>
    <t>ООО "Томскнефтехим"</t>
  </si>
  <si>
    <t>АО "Томская генерация"</t>
  </si>
  <si>
    <t xml:space="preserve">Филиал ОАО "РЖД" Трансэнерго Западно-Сибирской дирекции по энергообеспечению Тайгинской Дистанции электроснабжения </t>
  </si>
  <si>
    <t>ООО "Энергонефть Томск"</t>
  </si>
  <si>
    <t>ЗАО "Энерго Сервис"</t>
  </si>
  <si>
    <t>Показания ПТК «Черный ящик» по подстанциям, оборудованных ПТК «Черный ящик», в формате файлов Afview, за каждый час суток по московскому времени</t>
  </si>
  <si>
    <t>ООО "Газпром трансгаз Томск"</t>
  </si>
  <si>
    <t>ООО "Электросети"</t>
  </si>
  <si>
    <t>ПАО "Томскэнергосбыт"</t>
  </si>
  <si>
    <t>АО "СХК"</t>
  </si>
  <si>
    <t>Филиал ПАО "ФСК ЕЭС" Кузбасское ПМЭС</t>
  </si>
  <si>
    <t>+</t>
  </si>
  <si>
    <t>-</t>
  </si>
  <si>
    <t>* - уточнения по объему предоставляемой информации</t>
  </si>
  <si>
    <t>№ пп</t>
  </si>
  <si>
    <t>Значения активных мощностей (МВт) по присоединениям, подключенным под действие противоаварийной автоматики (ОН под ПА)  за каждый час суток с 00:00ч. до 23:00ч. по московскому времени</t>
  </si>
  <si>
    <t>+*</t>
  </si>
  <si>
    <t>ООО "Томлесдрев"(*ПС 110 кВ ДОК)</t>
  </si>
  <si>
    <t>ФГАОУ ВО НИ ТПУ (*ПС 35 кВ Спутник)</t>
  </si>
  <si>
    <t>+ *</t>
  </si>
  <si>
    <t>--</t>
  </si>
  <si>
    <t>АО "Транснефть - Западная Сибирь"</t>
  </si>
  <si>
    <t>АО "Транснефть - Сибирь"</t>
  </si>
  <si>
    <t>ООО «Газпром метанол»</t>
  </si>
  <si>
    <t>АО «Газпром добыча Томск» (*ПС 110 кВ Мыльджинская; Мыльджинская ГДЭС)</t>
  </si>
  <si>
    <t>Приложение к письму</t>
  </si>
  <si>
    <t>ПАО "ТРК"</t>
  </si>
  <si>
    <t>Перечень присоединений, отключаемых действием ДАР ПС 500 кВ Томская</t>
  </si>
  <si>
    <t>Сроки предоставления информации
по колонкам 4, 5,6</t>
  </si>
  <si>
    <t>Сроки предоставления информации
по колонке 8, 9, … 16</t>
  </si>
  <si>
    <t>ООО «Монолит-Строй» (*ПС 110 кВ ЛПК Партнер-Томск)</t>
  </si>
  <si>
    <t>ООО "Горсети" (*ПС 35 кВ Дробильно-Сортировочный завод, ПС 35 кВ Водник и ПС 35 кВ ЗПП-Т)</t>
  </si>
  <si>
    <t>ООО "Томские электрические сети" (*ПС 35 кВ Гравийная, ПС 35 кВ ЖБК-100)</t>
  </si>
  <si>
    <t xml:space="preserve"> Контрольный замер 21.12.2022г.</t>
  </si>
  <si>
    <t>Перечень предоставляемой информации по контрольным замерам 21.12.2022г. с разбивкой по организациям</t>
  </si>
  <si>
    <t xml:space="preserve">Фактический объем суточного потребления электрической энергии по присоединениям, входящим в утвержденный «График ограничения режима потребления электрической энергии на 2022/2023гг. по ПАО «ТРК» на территории Томской области» (Энергия) за каждый час суток по московскому времени с разбивкой по очередям. </t>
  </si>
  <si>
    <t>Мгновенные значения активных мощностей (МВт) по присоединениям, входящим в утвержденный «График временного отключения потребления на 2022/2023гг. по ПАО «ТРК» на территории Томской области» (ГВО Юг) за каждый час суток с 00:00ч. до 23:00ч. по московскому времени</t>
  </si>
  <si>
    <t>Мгновенные значения активных мощностей (МВт)  по присоединениям, входящим в утвержденный «График ограничения режима потребления электрической мощности на 2022/2023гг. по ПАО «ТРК» на территории Томской области» (Мощность Север) за каждый час суток по московскому времени с 22:00 20 декабря 2022г. по 23:00 21 декабря 2022г.</t>
  </si>
  <si>
    <t>Значения активных мощностей (МВт) по присоединениям, подключенным под действие противоаварийной автоматики (АЧР Север) за каждый час суток по московскому времени с 22:00 20 декабря 2022г. по 23:00 21 декабря 2022г.</t>
  </si>
  <si>
    <t>от ___.12.2022 № __/_____</t>
  </si>
  <si>
    <t>Мгновенные значения активных мощностей (МВт) по присоединениям, входящим в утвержденный «График временного отключения потребления на 2022/2023гг. по ПАО «ТРК» на территории Томской области» (ГВО Север) за каждый час суток по московскому времени с 22:00 20 декабря 2022г. по 23:00 21 декабря 2022г.</t>
  </si>
  <si>
    <t>Мгновенные значения активной  (МВт) и реактивной (Мвар) мощностей, протекающих по электросетевому оборудованию и ЛЭП, напряжений (кВ) и нагрузок (А) на шинах энергообъектов, обслуживаемых организацией, реактивных мощностей (Мвар), вырабатываемых/потребляемых компенсирующими устройствами с указанием положений РПН/ПБВ автотрансформаторов и трансформаторов (Форма КЗ) за 01:00ч., 07:00ч., 14:00ч. и 18:00ч. московского времени</t>
  </si>
  <si>
    <t>Мгновенные значения активной  (МВт) и реактивной (Мвар) мощностей, вырабатываемых генераторами, а также потребляемых на собственные нужды электростанций (Форма КЗ) за 01:00ч., 07:00ч., 14:00ч. и 18:00ч. московского времени</t>
  </si>
  <si>
    <t>Мгновенные значения активных мощностей (МВт) по присоединениям, входящим в утвержденный «График ограничения режима потребления электрической мощности на 2022/2023гг. по ПАО «ТРК» на территории Томской области» (Мощность) за 01:00ч., 07:00ч., 14:00ч. и 18:00ч. московского времени с разбивкой по очередям</t>
  </si>
  <si>
    <t>Значения активных мощностей (МВт) по присоединениям, подключенным под действие противоаварийной автоматики (АЧР Юг) за 01:00ч., 07:00ч., 14:00ч. и 18:00ч. московского времени</t>
  </si>
  <si>
    <t>ООО "Газпромнефть Энергосистемы"</t>
  </si>
  <si>
    <t>ПС 35 кВ "ЖБК-100"</t>
  </si>
  <si>
    <t>Ввод 1 (Ячейка 1)</t>
  </si>
  <si>
    <t>Ввод 2 (Ячейка 2)</t>
  </si>
  <si>
    <t>яч.7 РУ-10 кВ ПС 35/10 "ЖБК-100"</t>
  </si>
  <si>
    <t>яч.8 РУ-10 кВ ПС 35/10 "ЖБК-100"</t>
  </si>
  <si>
    <t>яч.5 РУ-10 кВ ПС 35/10 "ЖБК-100"</t>
  </si>
  <si>
    <t>1СШ-35</t>
  </si>
  <si>
    <t>2СШ-35</t>
  </si>
  <si>
    <t>ПС 35 кВ "Гравийная"</t>
  </si>
  <si>
    <t>Ввод 1 (Ячейка 7)</t>
  </si>
  <si>
    <t>Ввод 2 (Ячейка 8)</t>
  </si>
  <si>
    <t>яч.1А РУ-10 кВ ПС 35/10 "Гравийная"</t>
  </si>
  <si>
    <t>яч.12 РУ-10 кВ ПС 35/10 "Гравийная"</t>
  </si>
  <si>
    <t>яч.1 РУ-10 кВ ПС 35/10 "Гравийная"</t>
  </si>
  <si>
    <t>яч.5 РУ-10 кВ ПС 35/10 "Гравийная"</t>
  </si>
  <si>
    <t>яч.11 РУ-10 кВ ПС 35/10 "Гравийная"</t>
  </si>
  <si>
    <t>яч.9 РУ-10 кВ ПС 35/10 "Гравийная"</t>
  </si>
  <si>
    <t>яч.10 РУ-10 кВ ПС 35/10 "Гравийная"</t>
  </si>
  <si>
    <t>яч.6 РУ-10 кВ ПС 35/10 "Гравийная"</t>
  </si>
  <si>
    <t>яч.2 РУ-10 кВ ПС 35/10 "Гравийная"</t>
  </si>
  <si>
    <t>яч.2А РУ-10 кВ ПС 35/10 "Гравийная"</t>
  </si>
  <si>
    <t>ТСН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</si>
</sst>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00000"/>
    <numFmt numFmtId="192" formatCode="#,##0.0000"/>
    <numFmt numFmtId="193" formatCode="#,##0.0"/>
    <numFmt numFmtId="194" formatCode="#,##0.00_р_."/>
    <numFmt numFmtId="195" formatCode="0.00000"/>
    <numFmt numFmtId="196" formatCode="0.000000"/>
    <numFmt numFmtId="197" formatCode="_-* #,##0.00000_р_._-;\-* #,##0.00000_р_._-;_-* &quot;-&quot;??_р_._-;_-@_-"/>
    <numFmt numFmtId="198" formatCode="0.0000000"/>
    <numFmt numFmtId="199" formatCode="0.00000000"/>
    <numFmt numFmtId="200" formatCode="0.000000000"/>
    <numFmt numFmtId="201" formatCode="#,##0.000"/>
    <numFmt numFmtId="202" formatCode="0.0000000000"/>
    <numFmt numFmtId="203" formatCode="0.00000000000"/>
    <numFmt numFmtId="204" formatCode="[$-FC19]d\ mmmm\ yyyy\ &quot;г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h:mm;@"/>
    <numFmt numFmtId="210" formatCode="mmm/yyyy"/>
  </numFmts>
  <fonts count="4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89" fontId="7" fillId="0" borderId="14" xfId="0" applyNumberFormat="1" applyFont="1" applyFill="1" applyBorder="1" applyAlignment="1" applyProtection="1">
      <alignment horizontal="center" vertical="center"/>
      <protection/>
    </xf>
    <xf numFmtId="189" fontId="7" fillId="0" borderId="12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189" fontId="7" fillId="0" borderId="12" xfId="0" applyNumberFormat="1" applyFont="1" applyFill="1" applyBorder="1" applyAlignment="1" applyProtection="1" quotePrefix="1">
      <alignment horizontal="center" vertical="center"/>
      <protection/>
    </xf>
    <xf numFmtId="1" fontId="7" fillId="0" borderId="12" xfId="0" applyNumberFormat="1" applyFont="1" applyFill="1" applyBorder="1" applyAlignment="1" applyProtection="1" quotePrefix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 quotePrefix="1">
      <alignment horizontal="center" vertical="center"/>
      <protection/>
    </xf>
    <xf numFmtId="0" fontId="4" fillId="0" borderId="13" xfId="0" applyNumberFormat="1" applyFont="1" applyFill="1" applyBorder="1" applyAlignment="1" applyProtection="1" quotePrefix="1">
      <alignment horizontal="center" vertical="center"/>
      <protection/>
    </xf>
    <xf numFmtId="189" fontId="7" fillId="0" borderId="14" xfId="0" applyNumberFormat="1" applyFont="1" applyFill="1" applyBorder="1" applyAlignment="1" applyProtection="1" quotePrefix="1">
      <alignment horizontal="center" vertical="center"/>
      <protection/>
    </xf>
    <xf numFmtId="189" fontId="47" fillId="33" borderId="16" xfId="0" applyNumberFormat="1" applyFont="1" applyFill="1" applyBorder="1" applyAlignment="1">
      <alignment horizontal="center" vertical="center" wrapText="1"/>
    </xf>
    <xf numFmtId="189" fontId="47" fillId="33" borderId="11" xfId="0" applyNumberFormat="1" applyFont="1" applyFill="1" applyBorder="1" applyAlignment="1">
      <alignment horizontal="center" vertical="center" wrapText="1"/>
    </xf>
    <xf numFmtId="1" fontId="47" fillId="33" borderId="11" xfId="0" applyNumberFormat="1" applyFont="1" applyFill="1" applyBorder="1" applyAlignment="1">
      <alignment horizontal="center" vertical="center" wrapText="1"/>
    </xf>
    <xf numFmtId="190" fontId="47" fillId="33" borderId="17" xfId="0" applyNumberFormat="1" applyFont="1" applyFill="1" applyBorder="1" applyAlignment="1">
      <alignment horizontal="center" vertical="center" wrapText="1"/>
    </xf>
    <xf numFmtId="189" fontId="47" fillId="8" borderId="16" xfId="0" applyNumberFormat="1" applyFont="1" applyFill="1" applyBorder="1" applyAlignment="1">
      <alignment horizontal="center" vertical="center" wrapText="1"/>
    </xf>
    <xf numFmtId="189" fontId="47" fillId="8" borderId="11" xfId="0" applyNumberFormat="1" applyFont="1" applyFill="1" applyBorder="1" applyAlignment="1">
      <alignment horizontal="center" vertical="center" wrapText="1"/>
    </xf>
    <xf numFmtId="1" fontId="47" fillId="8" borderId="11" xfId="0" applyNumberFormat="1" applyFont="1" applyFill="1" applyBorder="1" applyAlignment="1">
      <alignment horizontal="center" vertical="center" wrapText="1"/>
    </xf>
    <xf numFmtId="190" fontId="47" fillId="8" borderId="17" xfId="0" applyNumberFormat="1" applyFont="1" applyFill="1" applyBorder="1" applyAlignment="1">
      <alignment horizontal="center" vertical="center" wrapText="1"/>
    </xf>
    <xf numFmtId="189" fontId="47" fillId="9" borderId="16" xfId="0" applyNumberFormat="1" applyFont="1" applyFill="1" applyBorder="1" applyAlignment="1">
      <alignment horizontal="center" vertical="center" wrapText="1"/>
    </xf>
    <xf numFmtId="189" fontId="47" fillId="9" borderId="11" xfId="0" applyNumberFormat="1" applyFont="1" applyFill="1" applyBorder="1" applyAlignment="1">
      <alignment horizontal="center" vertical="center" wrapText="1"/>
    </xf>
    <xf numFmtId="1" fontId="47" fillId="9" borderId="11" xfId="0" applyNumberFormat="1" applyFont="1" applyFill="1" applyBorder="1" applyAlignment="1">
      <alignment horizontal="center" vertical="center" wrapText="1"/>
    </xf>
    <xf numFmtId="190" fontId="47" fillId="9" borderId="17" xfId="0" applyNumberFormat="1" applyFont="1" applyFill="1" applyBorder="1" applyAlignment="1">
      <alignment horizontal="center" vertical="center" wrapText="1"/>
    </xf>
    <xf numFmtId="189" fontId="47" fillId="7" borderId="16" xfId="0" applyNumberFormat="1" applyFont="1" applyFill="1" applyBorder="1" applyAlignment="1">
      <alignment horizontal="center" vertical="center" wrapText="1"/>
    </xf>
    <xf numFmtId="189" fontId="47" fillId="7" borderId="11" xfId="0" applyNumberFormat="1" applyFont="1" applyFill="1" applyBorder="1" applyAlignment="1">
      <alignment horizontal="center" vertical="center" wrapText="1"/>
    </xf>
    <xf numFmtId="1" fontId="47" fillId="7" borderId="11" xfId="0" applyNumberFormat="1" applyFont="1" applyFill="1" applyBorder="1" applyAlignment="1">
      <alignment horizontal="center" vertical="center" wrapText="1"/>
    </xf>
    <xf numFmtId="190" fontId="47" fillId="7" borderId="1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 applyProtection="1" quotePrefix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190" fontId="7" fillId="0" borderId="21" xfId="0" applyNumberFormat="1" applyFont="1" applyFill="1" applyBorder="1" applyAlignment="1" applyProtection="1" quotePrefix="1">
      <alignment horizontal="center" vertical="center"/>
      <protection/>
    </xf>
    <xf numFmtId="19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 quotePrefix="1">
      <alignment horizontal="center" vertical="center"/>
      <protection/>
    </xf>
    <xf numFmtId="189" fontId="7" fillId="0" borderId="25" xfId="0" applyNumberFormat="1" applyFont="1" applyFill="1" applyBorder="1" applyAlignment="1" applyProtection="1" quotePrefix="1">
      <alignment horizontal="center" vertical="center"/>
      <protection/>
    </xf>
    <xf numFmtId="189" fontId="7" fillId="0" borderId="23" xfId="0" applyNumberFormat="1" applyFont="1" applyFill="1" applyBorder="1" applyAlignment="1" applyProtection="1" quotePrefix="1">
      <alignment horizontal="center" vertical="center"/>
      <protection/>
    </xf>
    <xf numFmtId="1" fontId="7" fillId="0" borderId="23" xfId="0" applyNumberFormat="1" applyFont="1" applyFill="1" applyBorder="1" applyAlignment="1" applyProtection="1" quotePrefix="1">
      <alignment horizontal="center" vertical="center"/>
      <protection/>
    </xf>
    <xf numFmtId="189" fontId="7" fillId="0" borderId="23" xfId="0" applyNumberFormat="1" applyFont="1" applyFill="1" applyBorder="1" applyAlignment="1" applyProtection="1">
      <alignment horizontal="center" vertical="center"/>
      <protection/>
    </xf>
    <xf numFmtId="190" fontId="7" fillId="0" borderId="26" xfId="0" applyNumberFormat="1" applyFont="1" applyFill="1" applyBorder="1" applyAlignment="1" applyProtection="1" quotePrefix="1">
      <alignment horizontal="center" vertical="center"/>
      <protection/>
    </xf>
    <xf numFmtId="190" fontId="7" fillId="0" borderId="27" xfId="0" applyNumberFormat="1" applyFont="1" applyFill="1" applyBorder="1" applyAlignment="1" applyProtection="1" quotePrefix="1">
      <alignment horizontal="center" vertical="center"/>
      <protection/>
    </xf>
    <xf numFmtId="0" fontId="2" fillId="0" borderId="28" xfId="0" applyFont="1" applyFill="1" applyBorder="1" applyAlignment="1" quotePrefix="1">
      <alignment horizontal="center" vertical="center"/>
    </xf>
    <xf numFmtId="0" fontId="2" fillId="0" borderId="18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14" fontId="2" fillId="0" borderId="37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 quotePrefix="1">
      <alignment horizontal="center" vertical="center"/>
    </xf>
    <xf numFmtId="0" fontId="2" fillId="0" borderId="38" xfId="0" applyFont="1" applyFill="1" applyBorder="1" applyAlignment="1" quotePrefix="1">
      <alignment horizontal="center" vertical="center"/>
    </xf>
    <xf numFmtId="14" fontId="2" fillId="0" borderId="39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20" fontId="47" fillId="7" borderId="46" xfId="0" applyNumberFormat="1" applyFont="1" applyFill="1" applyBorder="1" applyAlignment="1">
      <alignment horizontal="center" vertical="center"/>
    </xf>
    <xf numFmtId="0" fontId="47" fillId="7" borderId="47" xfId="0" applyFont="1" applyFill="1" applyBorder="1" applyAlignment="1">
      <alignment horizontal="center" vertical="center"/>
    </xf>
    <xf numFmtId="0" fontId="47" fillId="7" borderId="48" xfId="0" applyFont="1" applyFill="1" applyBorder="1" applyAlignment="1">
      <alignment horizontal="center" vertical="center"/>
    </xf>
    <xf numFmtId="0" fontId="47" fillId="7" borderId="49" xfId="0" applyFont="1" applyFill="1" applyBorder="1" applyAlignment="1">
      <alignment horizontal="center" vertical="center"/>
    </xf>
    <xf numFmtId="0" fontId="47" fillId="7" borderId="39" xfId="0" applyFont="1" applyFill="1" applyBorder="1" applyAlignment="1">
      <alignment horizontal="center" vertical="center"/>
    </xf>
    <xf numFmtId="0" fontId="47" fillId="7" borderId="50" xfId="0" applyFont="1" applyFill="1" applyBorder="1" applyAlignment="1">
      <alignment horizontal="center" vertical="center"/>
    </xf>
    <xf numFmtId="0" fontId="47" fillId="5" borderId="34" xfId="0" applyFont="1" applyFill="1" applyBorder="1" applyAlignment="1">
      <alignment horizontal="center" vertical="center" wrapText="1"/>
    </xf>
    <xf numFmtId="0" fontId="47" fillId="5" borderId="51" xfId="0" applyFont="1" applyFill="1" applyBorder="1" applyAlignment="1">
      <alignment horizontal="center" vertical="center" wrapText="1"/>
    </xf>
    <xf numFmtId="0" fontId="47" fillId="5" borderId="52" xfId="0" applyFont="1" applyFill="1" applyBorder="1" applyAlignment="1">
      <alignment horizontal="center" vertical="center" wrapText="1"/>
    </xf>
    <xf numFmtId="20" fontId="47" fillId="9" borderId="46" xfId="0" applyNumberFormat="1" applyFont="1" applyFill="1" applyBorder="1" applyAlignment="1">
      <alignment horizontal="center" vertical="center"/>
    </xf>
    <xf numFmtId="0" fontId="47" fillId="9" borderId="47" xfId="0" applyFont="1" applyFill="1" applyBorder="1" applyAlignment="1">
      <alignment horizontal="center" vertical="center"/>
    </xf>
    <xf numFmtId="0" fontId="47" fillId="9" borderId="48" xfId="0" applyFont="1" applyFill="1" applyBorder="1" applyAlignment="1">
      <alignment horizontal="center" vertical="center"/>
    </xf>
    <xf numFmtId="20" fontId="47" fillId="33" borderId="36" xfId="0" applyNumberFormat="1" applyFont="1" applyFill="1" applyBorder="1" applyAlignment="1">
      <alignment horizontal="center" vertical="center"/>
    </xf>
    <xf numFmtId="0" fontId="47" fillId="33" borderId="37" xfId="0" applyFont="1" applyFill="1" applyBorder="1" applyAlignment="1">
      <alignment horizontal="center" vertical="center"/>
    </xf>
    <xf numFmtId="0" fontId="47" fillId="33" borderId="53" xfId="0" applyFont="1" applyFill="1" applyBorder="1" applyAlignment="1">
      <alignment horizontal="center" vertical="center"/>
    </xf>
    <xf numFmtId="0" fontId="47" fillId="33" borderId="49" xfId="0" applyFont="1" applyFill="1" applyBorder="1" applyAlignment="1">
      <alignment horizontal="center" vertical="center"/>
    </xf>
    <xf numFmtId="0" fontId="47" fillId="33" borderId="39" xfId="0" applyFont="1" applyFill="1" applyBorder="1" applyAlignment="1">
      <alignment horizontal="center" vertical="center"/>
    </xf>
    <xf numFmtId="0" fontId="47" fillId="33" borderId="54" xfId="0" applyFont="1" applyFill="1" applyBorder="1" applyAlignment="1">
      <alignment horizontal="center" vertical="center"/>
    </xf>
    <xf numFmtId="0" fontId="47" fillId="5" borderId="33" xfId="0" applyFont="1" applyFill="1" applyBorder="1" applyAlignment="1">
      <alignment horizontal="center" vertical="center" wrapText="1"/>
    </xf>
    <xf numFmtId="0" fontId="47" fillId="5" borderId="55" xfId="0" applyFont="1" applyFill="1" applyBorder="1" applyAlignment="1">
      <alignment horizontal="center" vertical="center" wrapText="1"/>
    </xf>
    <xf numFmtId="0" fontId="47" fillId="5" borderId="56" xfId="0" applyFont="1" applyFill="1" applyBorder="1" applyAlignment="1">
      <alignment horizontal="center" vertical="center" wrapText="1"/>
    </xf>
    <xf numFmtId="0" fontId="47" fillId="5" borderId="57" xfId="0" applyFont="1" applyFill="1" applyBorder="1" applyAlignment="1">
      <alignment horizontal="center" vertical="center" wrapText="1"/>
    </xf>
    <xf numFmtId="0" fontId="47" fillId="5" borderId="58" xfId="0" applyFont="1" applyFill="1" applyBorder="1" applyAlignment="1">
      <alignment horizontal="center" vertical="center" wrapText="1"/>
    </xf>
    <xf numFmtId="0" fontId="47" fillId="9" borderId="49" xfId="0" applyFont="1" applyFill="1" applyBorder="1" applyAlignment="1">
      <alignment horizontal="center" vertical="center"/>
    </xf>
    <xf numFmtId="0" fontId="47" fillId="9" borderId="39" xfId="0" applyFont="1" applyFill="1" applyBorder="1" applyAlignment="1">
      <alignment horizontal="center" vertical="center"/>
    </xf>
    <xf numFmtId="0" fontId="47" fillId="9" borderId="54" xfId="0" applyFont="1" applyFill="1" applyBorder="1" applyAlignment="1">
      <alignment horizontal="center" vertical="center"/>
    </xf>
    <xf numFmtId="20" fontId="47" fillId="8" borderId="46" xfId="0" applyNumberFormat="1" applyFont="1" applyFill="1" applyBorder="1" applyAlignment="1">
      <alignment horizontal="center" vertical="center"/>
    </xf>
    <xf numFmtId="0" fontId="47" fillId="8" borderId="47" xfId="0" applyFont="1" applyFill="1" applyBorder="1" applyAlignment="1">
      <alignment horizontal="center" vertical="center"/>
    </xf>
    <xf numFmtId="0" fontId="47" fillId="8" borderId="48" xfId="0" applyFont="1" applyFill="1" applyBorder="1" applyAlignment="1">
      <alignment horizontal="center" vertical="center"/>
    </xf>
    <xf numFmtId="0" fontId="47" fillId="8" borderId="49" xfId="0" applyFont="1" applyFill="1" applyBorder="1" applyAlignment="1">
      <alignment horizontal="center" vertical="center"/>
    </xf>
    <xf numFmtId="0" fontId="47" fillId="8" borderId="39" xfId="0" applyFont="1" applyFill="1" applyBorder="1" applyAlignment="1">
      <alignment horizontal="center" vertical="center"/>
    </xf>
    <xf numFmtId="0" fontId="47" fillId="8" borderId="54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1" fontId="2" fillId="0" borderId="32" xfId="0" applyNumberFormat="1" applyFont="1" applyBorder="1" applyAlignment="1">
      <alignment/>
    </xf>
    <xf numFmtId="190" fontId="2" fillId="0" borderId="32" xfId="0" applyNumberFormat="1" applyFont="1" applyBorder="1" applyAlignment="1">
      <alignment/>
    </xf>
    <xf numFmtId="190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88" fontId="2" fillId="0" borderId="59" xfId="0" applyNumberFormat="1" applyFont="1" applyBorder="1" applyAlignment="1">
      <alignment/>
    </xf>
    <xf numFmtId="0" fontId="2" fillId="0" borderId="28" xfId="0" applyFont="1" applyBorder="1" applyAlignment="1">
      <alignment/>
    </xf>
    <xf numFmtId="188" fontId="2" fillId="0" borderId="10" xfId="0" applyNumberFormat="1" applyFont="1" applyBorder="1" applyAlignment="1">
      <alignment/>
    </xf>
    <xf numFmtId="190" fontId="2" fillId="0" borderId="10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188" fontId="2" fillId="0" borderId="3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88" fontId="2" fillId="0" borderId="3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90" fontId="2" fillId="0" borderId="32" xfId="0" applyNumberFormat="1" applyFont="1" applyFill="1" applyBorder="1" applyAlignment="1">
      <alignment/>
    </xf>
    <xf numFmtId="0" fontId="2" fillId="0" borderId="6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190" fontId="2" fillId="0" borderId="10" xfId="0" applyNumberFormat="1" applyFont="1" applyFill="1" applyBorder="1" applyAlignment="1">
      <alignment/>
    </xf>
    <xf numFmtId="188" fontId="2" fillId="0" borderId="10" xfId="0" applyNumberFormat="1" applyFont="1" applyFill="1" applyBorder="1" applyAlignment="1">
      <alignment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2 4" xfId="58"/>
    <cellStyle name="Обычный 2 5" xfId="59"/>
    <cellStyle name="Обычный 2 7" xfId="60"/>
    <cellStyle name="Обычный 3" xfId="61"/>
    <cellStyle name="Обычный 3 2" xfId="62"/>
    <cellStyle name="Обычный 4" xfId="63"/>
    <cellStyle name="Обычный 6" xfId="64"/>
    <cellStyle name="Followed Hyperlink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85" zoomScaleNormal="85" zoomScalePageLayoutView="0" workbookViewId="0" topLeftCell="A1">
      <pane xSplit="2" topLeftCell="C1" activePane="topRight" state="frozen"/>
      <selection pane="topLeft" activeCell="B1" sqref="B1"/>
      <selection pane="topRight" activeCell="F17" sqref="F17"/>
    </sheetView>
  </sheetViews>
  <sheetFormatPr defaultColWidth="42.28125" defaultRowHeight="12.75"/>
  <cols>
    <col min="1" max="1" width="7.140625" style="5" customWidth="1"/>
    <col min="2" max="2" width="38.421875" style="5" bestFit="1" customWidth="1"/>
    <col min="3" max="3" width="38.421875" style="5" customWidth="1"/>
    <col min="4" max="4" width="15.57421875" style="5" customWidth="1"/>
    <col min="5" max="5" width="42.28125" style="5" customWidth="1"/>
    <col min="6" max="7" width="27.421875" style="5" customWidth="1"/>
    <col min="8" max="8" width="31.7109375" style="5" customWidth="1"/>
    <col min="9" max="9" width="40.140625" style="5" customWidth="1"/>
    <col min="10" max="10" width="29.8515625" style="5" customWidth="1"/>
    <col min="11" max="11" width="36.57421875" style="5" customWidth="1"/>
    <col min="12" max="12" width="35.7109375" style="5" customWidth="1"/>
    <col min="13" max="13" width="25.140625" style="5" customWidth="1"/>
    <col min="14" max="14" width="27.140625" style="5" customWidth="1"/>
    <col min="15" max="15" width="23.7109375" style="5" customWidth="1"/>
    <col min="16" max="16" width="20.57421875" style="5" customWidth="1"/>
    <col min="17" max="16384" width="42.28125" style="5" customWidth="1"/>
  </cols>
  <sheetData>
    <row r="1" spans="14:16" ht="18.75">
      <c r="N1" s="79" t="s">
        <v>49</v>
      </c>
      <c r="O1" s="79"/>
      <c r="P1" s="79"/>
    </row>
    <row r="2" spans="14:16" ht="18.75">
      <c r="N2" s="79" t="s">
        <v>50</v>
      </c>
      <c r="O2" s="79"/>
      <c r="P2" s="79"/>
    </row>
    <row r="3" spans="14:16" ht="19.5" thickBot="1">
      <c r="N3" s="79" t="s">
        <v>63</v>
      </c>
      <c r="O3" s="79"/>
      <c r="P3" s="79"/>
    </row>
    <row r="4" spans="1:16" ht="12.75">
      <c r="A4" s="72" t="s">
        <v>58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1:16" ht="13.5" thickBo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16" ht="157.5" customHeight="1" thickBot="1">
      <c r="A6" s="59" t="s">
        <v>38</v>
      </c>
      <c r="B6" s="60" t="s">
        <v>22</v>
      </c>
      <c r="C6" s="61" t="s">
        <v>52</v>
      </c>
      <c r="D6" s="61" t="s">
        <v>51</v>
      </c>
      <c r="E6" s="61" t="s">
        <v>65</v>
      </c>
      <c r="F6" s="61" t="s">
        <v>66</v>
      </c>
      <c r="G6" s="61" t="s">
        <v>53</v>
      </c>
      <c r="H6" s="61" t="s">
        <v>59</v>
      </c>
      <c r="I6" s="61" t="s">
        <v>67</v>
      </c>
      <c r="J6" s="61" t="s">
        <v>60</v>
      </c>
      <c r="K6" s="61" t="s">
        <v>61</v>
      </c>
      <c r="L6" s="61" t="s">
        <v>64</v>
      </c>
      <c r="M6" s="61" t="s">
        <v>68</v>
      </c>
      <c r="N6" s="61" t="s">
        <v>62</v>
      </c>
      <c r="O6" s="61" t="s">
        <v>39</v>
      </c>
      <c r="P6" s="62" t="s">
        <v>29</v>
      </c>
    </row>
    <row r="7" spans="1:16" ht="13.5" thickBot="1">
      <c r="A7" s="51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>
        <v>13</v>
      </c>
      <c r="N7" s="52">
        <v>14</v>
      </c>
      <c r="O7" s="52">
        <v>15</v>
      </c>
      <c r="P7" s="53">
        <v>16</v>
      </c>
    </row>
    <row r="8" spans="1:16" ht="12.75">
      <c r="A8" s="63">
        <v>1</v>
      </c>
      <c r="B8" s="64" t="s">
        <v>34</v>
      </c>
      <c r="C8" s="65">
        <v>44921</v>
      </c>
      <c r="D8" s="65" t="s">
        <v>35</v>
      </c>
      <c r="E8" s="66" t="s">
        <v>35</v>
      </c>
      <c r="F8" s="66"/>
      <c r="G8" s="65">
        <v>44921</v>
      </c>
      <c r="H8" s="66" t="s">
        <v>35</v>
      </c>
      <c r="I8" s="66" t="s">
        <v>35</v>
      </c>
      <c r="J8" s="66" t="s">
        <v>35</v>
      </c>
      <c r="K8" s="66"/>
      <c r="L8" s="66" t="s">
        <v>35</v>
      </c>
      <c r="M8" s="66" t="s">
        <v>35</v>
      </c>
      <c r="N8" s="66" t="s">
        <v>35</v>
      </c>
      <c r="O8" s="66" t="s">
        <v>35</v>
      </c>
      <c r="P8" s="67" t="s">
        <v>35</v>
      </c>
    </row>
    <row r="9" spans="1:16" ht="12.75">
      <c r="A9" s="56">
        <v>2</v>
      </c>
      <c r="B9" s="50" t="s">
        <v>27</v>
      </c>
      <c r="C9" s="68">
        <v>44921</v>
      </c>
      <c r="D9" s="55"/>
      <c r="E9" s="3" t="s">
        <v>35</v>
      </c>
      <c r="F9" s="3"/>
      <c r="G9" s="68">
        <v>44921</v>
      </c>
      <c r="H9" s="3" t="s">
        <v>35</v>
      </c>
      <c r="I9" s="3" t="s">
        <v>35</v>
      </c>
      <c r="J9" s="3" t="s">
        <v>35</v>
      </c>
      <c r="K9" s="3" t="s">
        <v>35</v>
      </c>
      <c r="L9" s="3" t="s">
        <v>35</v>
      </c>
      <c r="M9" s="3" t="s">
        <v>35</v>
      </c>
      <c r="N9" s="3" t="s">
        <v>35</v>
      </c>
      <c r="O9" s="3" t="s">
        <v>35</v>
      </c>
      <c r="P9" s="48"/>
    </row>
    <row r="10" spans="1:16" ht="12.75">
      <c r="A10" s="56">
        <v>3</v>
      </c>
      <c r="B10" s="50" t="s">
        <v>28</v>
      </c>
      <c r="C10" s="55">
        <v>44921</v>
      </c>
      <c r="D10" s="55"/>
      <c r="E10" s="3"/>
      <c r="F10" s="3" t="s">
        <v>35</v>
      </c>
      <c r="G10" s="3"/>
      <c r="H10" s="3"/>
      <c r="I10" s="3"/>
      <c r="J10" s="3"/>
      <c r="K10" s="3"/>
      <c r="L10" s="3"/>
      <c r="M10" s="3"/>
      <c r="N10" s="3"/>
      <c r="O10" s="3"/>
      <c r="P10" s="48"/>
    </row>
    <row r="11" spans="1:16" ht="12.75">
      <c r="A11" s="56">
        <v>4</v>
      </c>
      <c r="B11" s="50" t="s">
        <v>69</v>
      </c>
      <c r="C11" s="55">
        <v>44921</v>
      </c>
      <c r="D11" s="54"/>
      <c r="E11" s="3" t="s">
        <v>35</v>
      </c>
      <c r="F11" s="3" t="s">
        <v>35</v>
      </c>
      <c r="G11" s="55">
        <v>44921</v>
      </c>
      <c r="H11" s="3" t="s">
        <v>35</v>
      </c>
      <c r="I11" s="3" t="s">
        <v>35</v>
      </c>
      <c r="J11" s="3" t="s">
        <v>35</v>
      </c>
      <c r="K11" s="3"/>
      <c r="L11" s="3"/>
      <c r="M11" s="3" t="s">
        <v>35</v>
      </c>
      <c r="N11" s="3"/>
      <c r="O11" s="3"/>
      <c r="P11" s="48"/>
    </row>
    <row r="12" spans="1:16" ht="12.75">
      <c r="A12" s="56">
        <v>5</v>
      </c>
      <c r="B12" s="50" t="s">
        <v>25</v>
      </c>
      <c r="C12" s="55">
        <v>44921</v>
      </c>
      <c r="D12" s="54"/>
      <c r="E12" s="3" t="s">
        <v>35</v>
      </c>
      <c r="F12" s="3" t="s">
        <v>35</v>
      </c>
      <c r="G12" s="55">
        <v>44921</v>
      </c>
      <c r="H12" s="3"/>
      <c r="I12" s="3"/>
      <c r="J12" s="3" t="s">
        <v>35</v>
      </c>
      <c r="K12" s="3"/>
      <c r="L12" s="3"/>
      <c r="M12" s="3" t="s">
        <v>35</v>
      </c>
      <c r="N12" s="3"/>
      <c r="O12" s="3"/>
      <c r="P12" s="48"/>
    </row>
    <row r="13" spans="1:16" ht="12.75">
      <c r="A13" s="56">
        <v>6</v>
      </c>
      <c r="B13" s="50" t="s">
        <v>24</v>
      </c>
      <c r="C13" s="55">
        <v>44921</v>
      </c>
      <c r="D13" s="54"/>
      <c r="E13" s="3" t="s">
        <v>35</v>
      </c>
      <c r="F13" s="3" t="s">
        <v>35</v>
      </c>
      <c r="G13" s="55">
        <v>44921</v>
      </c>
      <c r="H13" s="3" t="s">
        <v>35</v>
      </c>
      <c r="I13" s="3" t="s">
        <v>35</v>
      </c>
      <c r="J13" s="3"/>
      <c r="K13" s="3"/>
      <c r="L13" s="3"/>
      <c r="M13" s="3" t="s">
        <v>35</v>
      </c>
      <c r="N13" s="3"/>
      <c r="O13" s="3"/>
      <c r="P13" s="48"/>
    </row>
    <row r="14" spans="1:16" ht="12.75">
      <c r="A14" s="56">
        <v>7</v>
      </c>
      <c r="B14" s="50" t="s">
        <v>47</v>
      </c>
      <c r="C14" s="3" t="s">
        <v>36</v>
      </c>
      <c r="D14" s="3"/>
      <c r="E14" s="3"/>
      <c r="F14" s="3"/>
      <c r="G14" s="55">
        <v>44921</v>
      </c>
      <c r="H14" s="3"/>
      <c r="I14" s="3"/>
      <c r="J14" s="3"/>
      <c r="K14" s="3"/>
      <c r="L14" s="3"/>
      <c r="M14" s="3" t="s">
        <v>35</v>
      </c>
      <c r="N14" s="3"/>
      <c r="O14" s="3"/>
      <c r="P14" s="48"/>
    </row>
    <row r="15" spans="1:16" ht="12.75">
      <c r="A15" s="56">
        <v>8</v>
      </c>
      <c r="B15" s="50" t="s">
        <v>23</v>
      </c>
      <c r="C15" s="55">
        <v>44921</v>
      </c>
      <c r="D15" s="54"/>
      <c r="E15" s="3" t="s">
        <v>35</v>
      </c>
      <c r="F15" s="3"/>
      <c r="G15" s="55">
        <v>44921</v>
      </c>
      <c r="H15" s="3" t="s">
        <v>35</v>
      </c>
      <c r="I15" s="3" t="s">
        <v>35</v>
      </c>
      <c r="J15" s="3"/>
      <c r="K15" s="3"/>
      <c r="L15" s="3"/>
      <c r="M15" s="3" t="s">
        <v>35</v>
      </c>
      <c r="N15" s="3"/>
      <c r="O15" s="3"/>
      <c r="P15" s="48"/>
    </row>
    <row r="16" spans="1:16" ht="25.5">
      <c r="A16" s="56">
        <v>9</v>
      </c>
      <c r="B16" s="1" t="s">
        <v>48</v>
      </c>
      <c r="C16" s="55">
        <v>44921</v>
      </c>
      <c r="D16" s="54"/>
      <c r="E16" s="6" t="s">
        <v>40</v>
      </c>
      <c r="F16" s="3" t="s">
        <v>40</v>
      </c>
      <c r="G16" s="55">
        <v>44921</v>
      </c>
      <c r="H16" s="3" t="s">
        <v>35</v>
      </c>
      <c r="I16" s="3" t="s">
        <v>35</v>
      </c>
      <c r="J16" s="3"/>
      <c r="K16" s="3"/>
      <c r="L16" s="3"/>
      <c r="M16" s="3"/>
      <c r="N16" s="3"/>
      <c r="O16" s="3"/>
      <c r="P16" s="48"/>
    </row>
    <row r="17" spans="1:16" ht="38.25">
      <c r="A17" s="56">
        <v>10</v>
      </c>
      <c r="B17" s="1" t="s">
        <v>55</v>
      </c>
      <c r="C17" s="55">
        <v>44921</v>
      </c>
      <c r="D17" s="54"/>
      <c r="E17" s="6" t="s">
        <v>40</v>
      </c>
      <c r="F17" s="3"/>
      <c r="G17" s="55">
        <v>44921</v>
      </c>
      <c r="H17" s="3" t="s">
        <v>35</v>
      </c>
      <c r="I17" s="3" t="s">
        <v>35</v>
      </c>
      <c r="J17" s="3"/>
      <c r="K17" s="3"/>
      <c r="L17" s="3"/>
      <c r="M17" s="3" t="s">
        <v>40</v>
      </c>
      <c r="N17" s="3"/>
      <c r="O17" s="3"/>
      <c r="P17" s="48"/>
    </row>
    <row r="18" spans="1:16" ht="12.75">
      <c r="A18" s="56">
        <v>11</v>
      </c>
      <c r="B18" s="50" t="s">
        <v>32</v>
      </c>
      <c r="C18" s="3"/>
      <c r="D18" s="3"/>
      <c r="E18" s="3"/>
      <c r="F18" s="3"/>
      <c r="G18" s="55">
        <v>44921</v>
      </c>
      <c r="H18" s="3" t="s">
        <v>35</v>
      </c>
      <c r="I18" s="3" t="s">
        <v>35</v>
      </c>
      <c r="J18" s="3"/>
      <c r="K18" s="3" t="s">
        <v>35</v>
      </c>
      <c r="L18" s="3"/>
      <c r="M18" s="3"/>
      <c r="N18" s="3"/>
      <c r="O18" s="3"/>
      <c r="P18" s="48"/>
    </row>
    <row r="19" spans="1:16" ht="12.75">
      <c r="A19" s="56">
        <v>12</v>
      </c>
      <c r="B19" s="50" t="s">
        <v>41</v>
      </c>
      <c r="C19" s="55">
        <v>44921</v>
      </c>
      <c r="D19" s="54"/>
      <c r="E19" s="3" t="s">
        <v>43</v>
      </c>
      <c r="F19" s="3"/>
      <c r="G19" s="55">
        <v>44921</v>
      </c>
      <c r="H19" s="3"/>
      <c r="I19" s="3"/>
      <c r="J19" s="3" t="s">
        <v>35</v>
      </c>
      <c r="K19" s="3"/>
      <c r="L19" s="3"/>
      <c r="M19" s="3" t="s">
        <v>35</v>
      </c>
      <c r="N19" s="3"/>
      <c r="O19" s="3"/>
      <c r="P19" s="48"/>
    </row>
    <row r="20" spans="1:16" ht="12.75">
      <c r="A20" s="56">
        <v>13</v>
      </c>
      <c r="B20" s="50" t="s">
        <v>30</v>
      </c>
      <c r="C20" s="3"/>
      <c r="D20" s="3"/>
      <c r="E20" s="3"/>
      <c r="F20" s="3"/>
      <c r="G20" s="55">
        <v>44921</v>
      </c>
      <c r="H20" s="3" t="s">
        <v>35</v>
      </c>
      <c r="I20" s="3" t="s">
        <v>35</v>
      </c>
      <c r="J20" s="3"/>
      <c r="K20" s="3"/>
      <c r="L20" s="3"/>
      <c r="M20" s="3"/>
      <c r="N20" s="3"/>
      <c r="O20" s="3"/>
      <c r="P20" s="48"/>
    </row>
    <row r="21" spans="1:16" ht="12.75">
      <c r="A21" s="56">
        <v>14</v>
      </c>
      <c r="B21" s="50" t="s">
        <v>42</v>
      </c>
      <c r="C21" s="55">
        <v>44921</v>
      </c>
      <c r="D21" s="54"/>
      <c r="E21" s="6" t="s">
        <v>43</v>
      </c>
      <c r="F21" s="3"/>
      <c r="G21" s="3"/>
      <c r="H21" s="3"/>
      <c r="I21" s="3" t="s">
        <v>36</v>
      </c>
      <c r="J21" s="3"/>
      <c r="K21" s="3"/>
      <c r="L21" s="3"/>
      <c r="M21" s="3"/>
      <c r="N21" s="3"/>
      <c r="O21" s="3"/>
      <c r="P21" s="48"/>
    </row>
    <row r="22" spans="1:16" ht="12.75">
      <c r="A22" s="56">
        <v>15</v>
      </c>
      <c r="B22" s="50" t="s">
        <v>31</v>
      </c>
      <c r="C22" s="3"/>
      <c r="D22" s="3"/>
      <c r="E22" s="3"/>
      <c r="F22" s="3"/>
      <c r="G22" s="55">
        <v>44921</v>
      </c>
      <c r="H22" s="3" t="s">
        <v>35</v>
      </c>
      <c r="I22" s="3" t="s">
        <v>35</v>
      </c>
      <c r="J22" s="3"/>
      <c r="K22" s="3"/>
      <c r="L22" s="3"/>
      <c r="M22" s="3"/>
      <c r="N22" s="3"/>
      <c r="O22" s="3"/>
      <c r="P22" s="48"/>
    </row>
    <row r="23" spans="1:16" ht="12.75">
      <c r="A23" s="56">
        <v>16</v>
      </c>
      <c r="B23" s="50" t="s">
        <v>33</v>
      </c>
      <c r="C23" s="54">
        <v>44939</v>
      </c>
      <c r="D23" s="54"/>
      <c r="E23" s="3" t="s">
        <v>35</v>
      </c>
      <c r="F23" s="3"/>
      <c r="G23" s="3"/>
      <c r="H23" s="3"/>
      <c r="I23" s="3" t="s">
        <v>36</v>
      </c>
      <c r="J23" s="3"/>
      <c r="K23" s="3"/>
      <c r="L23" s="3"/>
      <c r="M23" s="3"/>
      <c r="N23" s="3"/>
      <c r="O23" s="3"/>
      <c r="P23" s="48"/>
    </row>
    <row r="24" spans="1:16" ht="12.75">
      <c r="A24" s="56">
        <v>17</v>
      </c>
      <c r="B24" s="50" t="s">
        <v>45</v>
      </c>
      <c r="C24" s="3"/>
      <c r="D24" s="3"/>
      <c r="E24" s="3"/>
      <c r="F24" s="3"/>
      <c r="G24" s="55">
        <v>44921</v>
      </c>
      <c r="H24" s="3" t="s">
        <v>35</v>
      </c>
      <c r="I24" s="3" t="s">
        <v>35</v>
      </c>
      <c r="J24" s="3"/>
      <c r="K24" s="3"/>
      <c r="L24" s="3"/>
      <c r="M24" s="3"/>
      <c r="N24" s="3"/>
      <c r="O24" s="3"/>
      <c r="P24" s="48"/>
    </row>
    <row r="25" spans="1:16" ht="12.75">
      <c r="A25" s="56">
        <v>18</v>
      </c>
      <c r="B25" s="50" t="s">
        <v>46</v>
      </c>
      <c r="C25" s="3"/>
      <c r="D25" s="3"/>
      <c r="E25" s="3"/>
      <c r="F25" s="3"/>
      <c r="G25" s="55">
        <v>44921</v>
      </c>
      <c r="H25" s="3" t="s">
        <v>35</v>
      </c>
      <c r="I25" s="3" t="s">
        <v>35</v>
      </c>
      <c r="J25" s="3"/>
      <c r="K25" s="3" t="s">
        <v>35</v>
      </c>
      <c r="L25" s="3"/>
      <c r="M25" s="3"/>
      <c r="N25" s="3"/>
      <c r="O25" s="3"/>
      <c r="P25" s="48"/>
    </row>
    <row r="26" spans="1:16" ht="25.5">
      <c r="A26" s="56">
        <v>19</v>
      </c>
      <c r="B26" s="1" t="s">
        <v>56</v>
      </c>
      <c r="C26" s="55">
        <v>44921</v>
      </c>
      <c r="D26" s="54"/>
      <c r="E26" s="3" t="s">
        <v>40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48"/>
    </row>
    <row r="27" spans="1:16" ht="38.25">
      <c r="A27" s="56">
        <v>20</v>
      </c>
      <c r="B27" s="1" t="s">
        <v>26</v>
      </c>
      <c r="C27" s="55">
        <v>44921</v>
      </c>
      <c r="D27" s="54"/>
      <c r="E27" s="3" t="s">
        <v>35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48"/>
    </row>
    <row r="28" spans="1:16" ht="26.25" thickBot="1">
      <c r="A28" s="57">
        <v>21</v>
      </c>
      <c r="B28" s="58" t="s">
        <v>54</v>
      </c>
      <c r="C28" s="4"/>
      <c r="D28" s="4"/>
      <c r="E28" s="4"/>
      <c r="F28" s="4"/>
      <c r="G28" s="69">
        <v>44921</v>
      </c>
      <c r="H28" s="4" t="s">
        <v>35</v>
      </c>
      <c r="I28" s="4" t="s">
        <v>35</v>
      </c>
      <c r="J28" s="4"/>
      <c r="K28" s="4"/>
      <c r="L28" s="4"/>
      <c r="M28" s="4" t="s">
        <v>35</v>
      </c>
      <c r="N28" s="4"/>
      <c r="O28" s="4" t="s">
        <v>35</v>
      </c>
      <c r="P28" s="49"/>
    </row>
    <row r="29" ht="10.5" customHeight="1"/>
    <row r="30" spans="1:16" ht="16.5" customHeight="1">
      <c r="A30" s="78" t="s">
        <v>37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</sheetData>
  <sheetProtection/>
  <mergeCells count="5">
    <mergeCell ref="A4:P5"/>
    <mergeCell ref="A30:P30"/>
    <mergeCell ref="N1:P1"/>
    <mergeCell ref="N2:P2"/>
    <mergeCell ref="N3:P3"/>
  </mergeCells>
  <printOptions/>
  <pageMargins left="0.7" right="0.7" top="0.75" bottom="0.75" header="0.3" footer="0.3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67"/>
  <sheetViews>
    <sheetView tabSelected="1" zoomScale="85" zoomScaleNormal="85" zoomScalePageLayoutView="0" workbookViewId="0" topLeftCell="A1">
      <selection activeCell="A19" sqref="A19"/>
    </sheetView>
  </sheetViews>
  <sheetFormatPr defaultColWidth="9.140625" defaultRowHeight="12.75"/>
  <cols>
    <col min="1" max="1" width="44.00390625" style="2" bestFit="1" customWidth="1"/>
    <col min="2" max="2" width="47.28125" style="2" customWidth="1"/>
    <col min="3" max="3" width="31.57421875" style="2" customWidth="1"/>
    <col min="4" max="4" width="9.28125" style="2" bestFit="1" customWidth="1"/>
    <col min="5" max="5" width="9.8515625" style="2" bestFit="1" customWidth="1"/>
    <col min="6" max="6" width="6.140625" style="2" bestFit="1" customWidth="1"/>
    <col min="7" max="7" width="9.7109375" style="2" bestFit="1" customWidth="1"/>
    <col min="8" max="8" width="6.140625" style="2" bestFit="1" customWidth="1"/>
    <col min="9" max="9" width="6.7109375" style="2" bestFit="1" customWidth="1"/>
    <col min="10" max="10" width="6.00390625" style="2" bestFit="1" customWidth="1"/>
    <col min="11" max="11" width="6.421875" style="2" bestFit="1" customWidth="1"/>
    <col min="12" max="12" width="9.28125" style="2" bestFit="1" customWidth="1"/>
    <col min="13" max="13" width="9.8515625" style="2" bestFit="1" customWidth="1"/>
    <col min="14" max="14" width="9.7109375" style="2" bestFit="1" customWidth="1"/>
    <col min="15" max="15" width="10.7109375" style="2" bestFit="1" customWidth="1"/>
    <col min="16" max="16" width="9.7109375" style="2" bestFit="1" customWidth="1"/>
    <col min="17" max="17" width="6.7109375" style="2" bestFit="1" customWidth="1"/>
    <col min="18" max="18" width="6.00390625" style="2" bestFit="1" customWidth="1"/>
    <col min="19" max="19" width="6.421875" style="2" bestFit="1" customWidth="1"/>
    <col min="20" max="20" width="9.28125" style="2" bestFit="1" customWidth="1"/>
    <col min="21" max="21" width="12.7109375" style="2" bestFit="1" customWidth="1"/>
    <col min="22" max="22" width="9.7109375" style="2" bestFit="1" customWidth="1"/>
    <col min="23" max="23" width="10.7109375" style="2" bestFit="1" customWidth="1"/>
    <col min="24" max="24" width="9.7109375" style="2" bestFit="1" customWidth="1"/>
    <col min="25" max="25" width="6.7109375" style="2" bestFit="1" customWidth="1"/>
    <col min="26" max="26" width="6.00390625" style="2" bestFit="1" customWidth="1"/>
    <col min="27" max="27" width="6.421875" style="2" bestFit="1" customWidth="1"/>
    <col min="28" max="28" width="9.28125" style="2" bestFit="1" customWidth="1"/>
    <col min="29" max="29" width="12.7109375" style="2" bestFit="1" customWidth="1"/>
    <col min="30" max="32" width="10.7109375" style="2" bestFit="1" customWidth="1"/>
    <col min="33" max="33" width="6.7109375" style="2" bestFit="1" customWidth="1"/>
    <col min="34" max="34" width="6.00390625" style="2" bestFit="1" customWidth="1"/>
    <col min="35" max="35" width="6.421875" style="2" bestFit="1" customWidth="1"/>
    <col min="36" max="16384" width="9.140625" style="2" customWidth="1"/>
  </cols>
  <sheetData>
    <row r="2" ht="18.75">
      <c r="A2" s="7" t="s">
        <v>57</v>
      </c>
    </row>
    <row r="3" ht="13.5" thickBot="1"/>
    <row r="4" spans="1:35" ht="12.75">
      <c r="A4" s="101" t="s">
        <v>0</v>
      </c>
      <c r="B4" s="89" t="s">
        <v>9</v>
      </c>
      <c r="C4" s="103" t="s">
        <v>19</v>
      </c>
      <c r="D4" s="95">
        <v>0.041666666666666664</v>
      </c>
      <c r="E4" s="96"/>
      <c r="F4" s="96"/>
      <c r="G4" s="96"/>
      <c r="H4" s="96"/>
      <c r="I4" s="96"/>
      <c r="J4" s="96"/>
      <c r="K4" s="97"/>
      <c r="L4" s="109">
        <v>0.2916666666666667</v>
      </c>
      <c r="M4" s="110"/>
      <c r="N4" s="110"/>
      <c r="O4" s="110"/>
      <c r="P4" s="110"/>
      <c r="Q4" s="110"/>
      <c r="R4" s="110"/>
      <c r="S4" s="111"/>
      <c r="T4" s="92">
        <v>0.5833333333333334</v>
      </c>
      <c r="U4" s="93"/>
      <c r="V4" s="93"/>
      <c r="W4" s="93"/>
      <c r="X4" s="93"/>
      <c r="Y4" s="93"/>
      <c r="Z4" s="93"/>
      <c r="AA4" s="94"/>
      <c r="AB4" s="83">
        <v>0.75</v>
      </c>
      <c r="AC4" s="84"/>
      <c r="AD4" s="84"/>
      <c r="AE4" s="84"/>
      <c r="AF4" s="84"/>
      <c r="AG4" s="84"/>
      <c r="AH4" s="84"/>
      <c r="AI4" s="85"/>
    </row>
    <row r="5" spans="1:35" ht="12.75">
      <c r="A5" s="102"/>
      <c r="B5" s="90"/>
      <c r="C5" s="104"/>
      <c r="D5" s="98" t="s">
        <v>20</v>
      </c>
      <c r="E5" s="99"/>
      <c r="F5" s="99"/>
      <c r="G5" s="99"/>
      <c r="H5" s="99"/>
      <c r="I5" s="99"/>
      <c r="J5" s="99"/>
      <c r="K5" s="100"/>
      <c r="L5" s="112" t="s">
        <v>20</v>
      </c>
      <c r="M5" s="113"/>
      <c r="N5" s="113"/>
      <c r="O5" s="113"/>
      <c r="P5" s="113"/>
      <c r="Q5" s="113"/>
      <c r="R5" s="113"/>
      <c r="S5" s="114"/>
      <c r="T5" s="106" t="s">
        <v>20</v>
      </c>
      <c r="U5" s="107"/>
      <c r="V5" s="107"/>
      <c r="W5" s="107"/>
      <c r="X5" s="107"/>
      <c r="Y5" s="107"/>
      <c r="Z5" s="107"/>
      <c r="AA5" s="108"/>
      <c r="AB5" s="86" t="s">
        <v>20</v>
      </c>
      <c r="AC5" s="87"/>
      <c r="AD5" s="87"/>
      <c r="AE5" s="87"/>
      <c r="AF5" s="87"/>
      <c r="AG5" s="87"/>
      <c r="AH5" s="87"/>
      <c r="AI5" s="88"/>
    </row>
    <row r="6" spans="1:35" ht="26.25" thickBot="1">
      <c r="A6" s="102"/>
      <c r="B6" s="91"/>
      <c r="C6" s="105"/>
      <c r="D6" s="19" t="s">
        <v>1</v>
      </c>
      <c r="E6" s="20" t="s">
        <v>2</v>
      </c>
      <c r="F6" s="21" t="s">
        <v>3</v>
      </c>
      <c r="G6" s="21" t="s">
        <v>4</v>
      </c>
      <c r="H6" s="21" t="s">
        <v>5</v>
      </c>
      <c r="I6" s="20" t="s">
        <v>6</v>
      </c>
      <c r="J6" s="21" t="s">
        <v>7</v>
      </c>
      <c r="K6" s="22" t="s">
        <v>8</v>
      </c>
      <c r="L6" s="23" t="s">
        <v>1</v>
      </c>
      <c r="M6" s="24" t="s">
        <v>2</v>
      </c>
      <c r="N6" s="24" t="s">
        <v>3</v>
      </c>
      <c r="O6" s="25" t="s">
        <v>4</v>
      </c>
      <c r="P6" s="25" t="s">
        <v>5</v>
      </c>
      <c r="Q6" s="24" t="s">
        <v>6</v>
      </c>
      <c r="R6" s="25" t="s">
        <v>7</v>
      </c>
      <c r="S6" s="26" t="s">
        <v>8</v>
      </c>
      <c r="T6" s="27" t="s">
        <v>1</v>
      </c>
      <c r="U6" s="28" t="s">
        <v>2</v>
      </c>
      <c r="V6" s="29" t="s">
        <v>3</v>
      </c>
      <c r="W6" s="29" t="s">
        <v>4</v>
      </c>
      <c r="X6" s="29" t="s">
        <v>5</v>
      </c>
      <c r="Y6" s="28" t="s">
        <v>6</v>
      </c>
      <c r="Z6" s="29" t="s">
        <v>7</v>
      </c>
      <c r="AA6" s="30" t="s">
        <v>8</v>
      </c>
      <c r="AB6" s="31" t="s">
        <v>1</v>
      </c>
      <c r="AC6" s="32" t="s">
        <v>2</v>
      </c>
      <c r="AD6" s="33" t="s">
        <v>3</v>
      </c>
      <c r="AE6" s="33" t="s">
        <v>4</v>
      </c>
      <c r="AF6" s="33" t="s">
        <v>5</v>
      </c>
      <c r="AG6" s="32" t="s">
        <v>6</v>
      </c>
      <c r="AH6" s="33" t="s">
        <v>7</v>
      </c>
      <c r="AI6" s="34" t="s">
        <v>8</v>
      </c>
    </row>
    <row r="7" spans="1:35" ht="15">
      <c r="A7" s="71" t="s">
        <v>70</v>
      </c>
      <c r="B7" s="118" t="s">
        <v>71</v>
      </c>
      <c r="C7" s="119" t="s">
        <v>76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35" t="s">
        <v>44</v>
      </c>
      <c r="K7" s="120">
        <v>16000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4" t="s">
        <v>44</v>
      </c>
      <c r="S7" s="120">
        <v>16000</v>
      </c>
      <c r="T7" s="120">
        <v>0</v>
      </c>
      <c r="U7" s="120">
        <v>0</v>
      </c>
      <c r="V7" s="120">
        <v>0</v>
      </c>
      <c r="W7" s="120">
        <v>0</v>
      </c>
      <c r="X7" s="120">
        <v>0</v>
      </c>
      <c r="Y7" s="120">
        <v>0</v>
      </c>
      <c r="Z7" s="35" t="s">
        <v>44</v>
      </c>
      <c r="AA7" s="120">
        <v>16000</v>
      </c>
      <c r="AB7" s="120">
        <v>0</v>
      </c>
      <c r="AC7" s="120">
        <v>0</v>
      </c>
      <c r="AD7" s="120">
        <v>0</v>
      </c>
      <c r="AE7" s="120">
        <v>0</v>
      </c>
      <c r="AF7" s="120">
        <v>0</v>
      </c>
      <c r="AG7" s="120">
        <v>0</v>
      </c>
      <c r="AH7" s="35" t="s">
        <v>44</v>
      </c>
      <c r="AI7" s="120">
        <v>16000</v>
      </c>
    </row>
    <row r="8" spans="1:35" ht="15">
      <c r="A8" s="71" t="s">
        <v>70</v>
      </c>
      <c r="B8" s="118" t="s">
        <v>72</v>
      </c>
      <c r="C8" s="119" t="s">
        <v>77</v>
      </c>
      <c r="D8" s="121">
        <f>0.3504</f>
        <v>0.3504</v>
      </c>
      <c r="E8" s="122">
        <f>0.2752</f>
        <v>0.2752</v>
      </c>
      <c r="F8" s="123">
        <f>0.1516*160</f>
        <v>24.256</v>
      </c>
      <c r="G8" s="123">
        <f>0.1456*160</f>
        <v>23.296</v>
      </c>
      <c r="H8" s="123">
        <f>0.1639*160</f>
        <v>26.223999999999997</v>
      </c>
      <c r="I8" s="124">
        <v>10.575</v>
      </c>
      <c r="J8" s="14" t="s">
        <v>44</v>
      </c>
      <c r="K8" s="125">
        <v>16000</v>
      </c>
      <c r="L8" s="121">
        <f>0.3504</f>
        <v>0.3504</v>
      </c>
      <c r="M8" s="122">
        <f>0.2256</f>
        <v>0.2256</v>
      </c>
      <c r="N8" s="123">
        <f>0.145*160</f>
        <v>23.2</v>
      </c>
      <c r="O8" s="123">
        <f>0.1504*160</f>
        <v>24.064</v>
      </c>
      <c r="P8" s="123">
        <f>0.165*160</f>
        <v>26.400000000000002</v>
      </c>
      <c r="Q8" s="123">
        <v>10.283</v>
      </c>
      <c r="R8" s="14" t="s">
        <v>44</v>
      </c>
      <c r="S8" s="125">
        <v>16000</v>
      </c>
      <c r="T8" s="121">
        <f>0.304</f>
        <v>0.304</v>
      </c>
      <c r="U8" s="121">
        <f>0.2368</f>
        <v>0.2368</v>
      </c>
      <c r="V8" s="123">
        <f>0.1333*160</f>
        <v>21.328</v>
      </c>
      <c r="W8" s="123">
        <f>0.1241*160</f>
        <v>19.856</v>
      </c>
      <c r="X8" s="123">
        <f>0.1519*160</f>
        <v>24.304000000000002</v>
      </c>
      <c r="Y8" s="126">
        <v>10.436</v>
      </c>
      <c r="Z8" s="14" t="s">
        <v>44</v>
      </c>
      <c r="AA8" s="125">
        <v>16000</v>
      </c>
      <c r="AB8" s="121">
        <f>0.3424</f>
        <v>0.3424</v>
      </c>
      <c r="AC8" s="127">
        <f>0.2672</f>
        <v>0.2672</v>
      </c>
      <c r="AD8" s="123">
        <f>0.149*160</f>
        <v>23.84</v>
      </c>
      <c r="AE8" s="123">
        <f>0.1382*160</f>
        <v>22.112</v>
      </c>
      <c r="AF8" s="123">
        <f>0.1663*160</f>
        <v>26.608</v>
      </c>
      <c r="AG8" s="126">
        <v>10.505</v>
      </c>
      <c r="AH8" s="14" t="s">
        <v>44</v>
      </c>
      <c r="AI8" s="125">
        <v>16000</v>
      </c>
    </row>
    <row r="9" spans="1:35" ht="15">
      <c r="A9" s="71" t="s">
        <v>70</v>
      </c>
      <c r="B9" s="118" t="s">
        <v>73</v>
      </c>
      <c r="C9" s="9"/>
      <c r="D9" s="121">
        <f>0.344</f>
        <v>0.344</v>
      </c>
      <c r="E9" s="122">
        <f>0.282</f>
        <v>0.282</v>
      </c>
      <c r="F9" s="123">
        <f>0.1212*200</f>
        <v>24.240000000000002</v>
      </c>
      <c r="G9" s="123">
        <f>0.1159*200</f>
        <v>23.18</v>
      </c>
      <c r="H9" s="123">
        <f>0.1301*200</f>
        <v>26.02</v>
      </c>
      <c r="I9" s="124">
        <v>10.575</v>
      </c>
      <c r="J9" s="14" t="s">
        <v>44</v>
      </c>
      <c r="K9" s="125">
        <v>20000</v>
      </c>
      <c r="L9" s="121">
        <f>0.534</f>
        <v>0.534</v>
      </c>
      <c r="M9" s="122">
        <f>0.394</f>
        <v>0.394</v>
      </c>
      <c r="N9" s="115">
        <f>0.1829*200</f>
        <v>36.58</v>
      </c>
      <c r="O9" s="115">
        <f>0.1832*200</f>
        <v>36.64</v>
      </c>
      <c r="P9" s="115">
        <f>0.1922*200</f>
        <v>38.440000000000005</v>
      </c>
      <c r="Q9" s="123">
        <v>10.283</v>
      </c>
      <c r="R9" s="14" t="s">
        <v>44</v>
      </c>
      <c r="S9" s="125">
        <v>20000</v>
      </c>
      <c r="T9" s="121">
        <f>0.308</f>
        <v>0.308</v>
      </c>
      <c r="U9" s="122">
        <f>0.242</f>
        <v>0.242</v>
      </c>
      <c r="V9" s="123">
        <f>0.1079*200</f>
        <v>21.58</v>
      </c>
      <c r="W9" s="123">
        <f>0.101*200</f>
        <v>20.200000000000003</v>
      </c>
      <c r="X9" s="123">
        <f>0.1232*200</f>
        <v>24.64</v>
      </c>
      <c r="Y9" s="126">
        <v>10.436</v>
      </c>
      <c r="Z9" s="14" t="s">
        <v>44</v>
      </c>
      <c r="AA9" s="125">
        <v>20000</v>
      </c>
      <c r="AB9" s="121">
        <f>0.348</f>
        <v>0.348</v>
      </c>
      <c r="AC9" s="127">
        <f>0.274</f>
        <v>0.274</v>
      </c>
      <c r="AD9" s="123">
        <f>0.1202*200</f>
        <v>24.04</v>
      </c>
      <c r="AE9" s="123">
        <f>0.1131*200</f>
        <v>22.62</v>
      </c>
      <c r="AF9" s="123">
        <f>0.1354*200</f>
        <v>27.08</v>
      </c>
      <c r="AG9" s="126">
        <v>10.505</v>
      </c>
      <c r="AH9" s="14" t="s">
        <v>44</v>
      </c>
      <c r="AI9" s="125">
        <v>20000</v>
      </c>
    </row>
    <row r="10" spans="1:35" ht="15">
      <c r="A10" s="71" t="s">
        <v>70</v>
      </c>
      <c r="B10" s="118" t="s">
        <v>74</v>
      </c>
      <c r="C10" s="9"/>
      <c r="D10" s="128">
        <v>0</v>
      </c>
      <c r="E10" s="128">
        <v>0</v>
      </c>
      <c r="F10" s="120">
        <v>0</v>
      </c>
      <c r="G10" s="120">
        <v>0</v>
      </c>
      <c r="H10" s="120">
        <v>0</v>
      </c>
      <c r="I10" s="129">
        <v>10.575</v>
      </c>
      <c r="J10" s="14" t="s">
        <v>44</v>
      </c>
      <c r="K10" s="128">
        <v>20000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3">
        <v>10.283</v>
      </c>
      <c r="R10" s="14" t="s">
        <v>44</v>
      </c>
      <c r="S10" s="128">
        <v>20000</v>
      </c>
      <c r="T10" s="128">
        <v>0</v>
      </c>
      <c r="U10" s="128">
        <v>0</v>
      </c>
      <c r="V10" s="120">
        <v>0</v>
      </c>
      <c r="W10" s="120">
        <v>0</v>
      </c>
      <c r="X10" s="120">
        <v>0</v>
      </c>
      <c r="Y10" s="126">
        <v>10.436</v>
      </c>
      <c r="Z10" s="14" t="s">
        <v>44</v>
      </c>
      <c r="AA10" s="128">
        <v>20000</v>
      </c>
      <c r="AB10" s="128">
        <v>0</v>
      </c>
      <c r="AC10" s="128">
        <v>0</v>
      </c>
      <c r="AD10" s="120">
        <v>0</v>
      </c>
      <c r="AE10" s="120">
        <v>0</v>
      </c>
      <c r="AF10" s="120">
        <v>0</v>
      </c>
      <c r="AG10" s="126">
        <v>10.505</v>
      </c>
      <c r="AH10" s="14" t="s">
        <v>44</v>
      </c>
      <c r="AI10" s="128">
        <v>20000</v>
      </c>
    </row>
    <row r="11" spans="1:35" ht="15">
      <c r="A11" s="71" t="s">
        <v>70</v>
      </c>
      <c r="B11" s="118" t="s">
        <v>75</v>
      </c>
      <c r="C11" s="9"/>
      <c r="D11" s="128">
        <v>0</v>
      </c>
      <c r="E11" s="128">
        <v>0</v>
      </c>
      <c r="F11" s="130">
        <v>0</v>
      </c>
      <c r="G11" s="130">
        <v>0</v>
      </c>
      <c r="H11" s="130">
        <v>0</v>
      </c>
      <c r="I11" s="129">
        <v>10.575</v>
      </c>
      <c r="J11" s="14" t="s">
        <v>44</v>
      </c>
      <c r="K11" s="125">
        <v>6000</v>
      </c>
      <c r="L11" s="128">
        <v>0</v>
      </c>
      <c r="M11" s="128">
        <v>0</v>
      </c>
      <c r="N11" s="130">
        <v>0</v>
      </c>
      <c r="O11" s="130">
        <v>0</v>
      </c>
      <c r="P11" s="130">
        <v>0</v>
      </c>
      <c r="Q11" s="123">
        <v>10.283</v>
      </c>
      <c r="R11" s="14" t="s">
        <v>44</v>
      </c>
      <c r="S11" s="125">
        <v>6000</v>
      </c>
      <c r="T11" s="128">
        <v>0</v>
      </c>
      <c r="U11" s="128">
        <v>0</v>
      </c>
      <c r="V11" s="130">
        <v>0</v>
      </c>
      <c r="W11" s="130">
        <v>0</v>
      </c>
      <c r="X11" s="130">
        <v>0</v>
      </c>
      <c r="Y11" s="126">
        <v>10.436</v>
      </c>
      <c r="Z11" s="14" t="s">
        <v>44</v>
      </c>
      <c r="AA11" s="125">
        <v>6000</v>
      </c>
      <c r="AB11" s="128">
        <v>0</v>
      </c>
      <c r="AC11" s="128">
        <v>0</v>
      </c>
      <c r="AD11" s="130">
        <v>0</v>
      </c>
      <c r="AE11" s="130">
        <v>0</v>
      </c>
      <c r="AF11" s="130">
        <v>0</v>
      </c>
      <c r="AG11" s="126">
        <v>10.505</v>
      </c>
      <c r="AH11" s="14" t="s">
        <v>44</v>
      </c>
      <c r="AI11" s="125">
        <v>6000</v>
      </c>
    </row>
    <row r="12" spans="1:35" ht="15.75" thickBot="1">
      <c r="A12" s="70"/>
      <c r="B12" s="8"/>
      <c r="C12" s="17"/>
      <c r="D12" s="18"/>
      <c r="E12" s="13"/>
      <c r="F12" s="14"/>
      <c r="G12" s="14"/>
      <c r="H12" s="14"/>
      <c r="I12" s="11"/>
      <c r="J12" s="14"/>
      <c r="K12" s="16"/>
      <c r="L12" s="18"/>
      <c r="M12" s="13"/>
      <c r="N12" s="14"/>
      <c r="O12" s="14"/>
      <c r="P12" s="14"/>
      <c r="Q12" s="11"/>
      <c r="R12" s="14"/>
      <c r="S12" s="16"/>
      <c r="T12" s="18"/>
      <c r="U12" s="13"/>
      <c r="V12" s="14"/>
      <c r="W12" s="14"/>
      <c r="X12" s="14"/>
      <c r="Y12" s="11"/>
      <c r="Z12" s="14"/>
      <c r="AA12" s="16"/>
      <c r="AB12" s="18"/>
      <c r="AC12" s="13"/>
      <c r="AD12" s="14"/>
      <c r="AE12" s="14"/>
      <c r="AF12" s="14"/>
      <c r="AG12" s="11"/>
      <c r="AH12" s="14"/>
      <c r="AI12" s="37"/>
    </row>
    <row r="13" spans="1:35" ht="15">
      <c r="A13" s="116" t="s">
        <v>78</v>
      </c>
      <c r="B13" s="117" t="s">
        <v>79</v>
      </c>
      <c r="C13" s="119" t="s">
        <v>76</v>
      </c>
      <c r="D13" s="131">
        <v>1.191</v>
      </c>
      <c r="E13" s="132">
        <v>-0.108</v>
      </c>
      <c r="F13" s="132">
        <v>68.15</v>
      </c>
      <c r="G13" s="132">
        <v>67.1</v>
      </c>
      <c r="H13" s="132">
        <v>66.21</v>
      </c>
      <c r="I13" s="133">
        <v>10.33</v>
      </c>
      <c r="J13" s="35" t="s">
        <v>44</v>
      </c>
      <c r="K13" s="134">
        <v>1000</v>
      </c>
      <c r="L13" s="131">
        <v>1.642</v>
      </c>
      <c r="M13" s="132">
        <v>-0.20071</v>
      </c>
      <c r="N13" s="132">
        <v>97.31</v>
      </c>
      <c r="O13" s="132">
        <v>94.35</v>
      </c>
      <c r="P13" s="132">
        <v>93.58</v>
      </c>
      <c r="Q13" s="132">
        <v>10.1</v>
      </c>
      <c r="R13" s="14"/>
      <c r="S13" s="134">
        <v>1000</v>
      </c>
      <c r="T13" s="135">
        <v>1.8056</v>
      </c>
      <c r="U13" s="132">
        <v>-0.13</v>
      </c>
      <c r="V13" s="132">
        <v>102.5</v>
      </c>
      <c r="W13" s="132">
        <v>100.4</v>
      </c>
      <c r="X13" s="132">
        <v>104.1</v>
      </c>
      <c r="Y13" s="132">
        <v>10.22</v>
      </c>
      <c r="Z13" s="14"/>
      <c r="AA13" s="134">
        <v>1000</v>
      </c>
      <c r="AB13" s="136">
        <v>1.759</v>
      </c>
      <c r="AC13" s="132">
        <v>-0.133</v>
      </c>
      <c r="AD13" s="132">
        <v>99.62</v>
      </c>
      <c r="AE13" s="132">
        <v>98.44</v>
      </c>
      <c r="AF13" s="137">
        <v>100.22</v>
      </c>
      <c r="AG13" s="132">
        <v>10.24</v>
      </c>
      <c r="AH13" s="14"/>
      <c r="AI13" s="134">
        <v>1000</v>
      </c>
    </row>
    <row r="14" spans="1:35" ht="15">
      <c r="A14" s="116" t="s">
        <v>78</v>
      </c>
      <c r="B14" s="117" t="s">
        <v>80</v>
      </c>
      <c r="C14" s="119" t="s">
        <v>77</v>
      </c>
      <c r="D14" s="138">
        <f>0.000072*16000</f>
        <v>1.1520000000000001</v>
      </c>
      <c r="E14" s="132">
        <f>0.02*16</f>
        <v>0.32</v>
      </c>
      <c r="F14" s="132">
        <f>0.401*160</f>
        <v>64.16</v>
      </c>
      <c r="G14" s="132">
        <f>0.416*160</f>
        <v>66.56</v>
      </c>
      <c r="H14" s="132">
        <f>0.424*160</f>
        <v>67.84</v>
      </c>
      <c r="I14" s="133">
        <v>10.36</v>
      </c>
      <c r="J14" s="14" t="s">
        <v>44</v>
      </c>
      <c r="K14" s="134">
        <v>16000</v>
      </c>
      <c r="L14" s="138">
        <f>0.000095*16000</f>
        <v>1.52</v>
      </c>
      <c r="M14" s="132">
        <v>0</v>
      </c>
      <c r="N14" s="132">
        <f>0.55*160</f>
        <v>88</v>
      </c>
      <c r="O14" s="132">
        <f>0.54*160</f>
        <v>86.4</v>
      </c>
      <c r="P14" s="132">
        <f>0.52*160</f>
        <v>83.2</v>
      </c>
      <c r="Q14" s="132">
        <v>10.26</v>
      </c>
      <c r="R14" s="14"/>
      <c r="S14" s="134">
        <v>16000</v>
      </c>
      <c r="T14" s="138">
        <f>0.000104*16000</f>
        <v>1.664</v>
      </c>
      <c r="U14" s="132">
        <f>0.000001*16000</f>
        <v>0.016</v>
      </c>
      <c r="V14" s="132">
        <f>0.57*160</f>
        <v>91.19999999999999</v>
      </c>
      <c r="W14" s="132">
        <f>0.58*160</f>
        <v>92.8</v>
      </c>
      <c r="X14" s="132">
        <f>0.57*160</f>
        <v>91.19999999999999</v>
      </c>
      <c r="Y14" s="132">
        <v>10.29</v>
      </c>
      <c r="Z14" s="14"/>
      <c r="AA14" s="134">
        <v>16000</v>
      </c>
      <c r="AB14" s="136">
        <f>0.000095*16000</f>
        <v>1.52</v>
      </c>
      <c r="AC14" s="132">
        <f>0.000003*16000</f>
        <v>0.048</v>
      </c>
      <c r="AD14" s="132">
        <f>0.52*160</f>
        <v>83.2</v>
      </c>
      <c r="AE14" s="132">
        <f>0.54*160</f>
        <v>86.4</v>
      </c>
      <c r="AF14" s="132">
        <f>0.52*160</f>
        <v>83.2</v>
      </c>
      <c r="AG14" s="132">
        <v>10.42</v>
      </c>
      <c r="AH14" s="14"/>
      <c r="AI14" s="134">
        <v>16000</v>
      </c>
    </row>
    <row r="15" spans="1:35" ht="15">
      <c r="A15" s="116" t="s">
        <v>78</v>
      </c>
      <c r="B15" s="117" t="s">
        <v>81</v>
      </c>
      <c r="C15" s="119"/>
      <c r="D15" s="138">
        <f>0.000035*6000</f>
        <v>0.21</v>
      </c>
      <c r="E15" s="132">
        <f>0.0000174*6000</f>
        <v>0.10439999999999999</v>
      </c>
      <c r="F15" s="132">
        <f>0.2*60</f>
        <v>12</v>
      </c>
      <c r="G15" s="132">
        <f>0.22*60</f>
        <v>13.2</v>
      </c>
      <c r="H15" s="132">
        <f>0.22*60</f>
        <v>13.2</v>
      </c>
      <c r="I15" s="133">
        <v>10.33</v>
      </c>
      <c r="J15" s="14" t="s">
        <v>44</v>
      </c>
      <c r="K15" s="134">
        <v>6000</v>
      </c>
      <c r="L15" s="138">
        <f>0.0000432*6000</f>
        <v>0.2592</v>
      </c>
      <c r="M15" s="132">
        <f>0.0000168*6000</f>
        <v>0.10079999999999999</v>
      </c>
      <c r="N15" s="132">
        <f>0.26*60</f>
        <v>15.600000000000001</v>
      </c>
      <c r="O15" s="132">
        <f>0.27*60</f>
        <v>16.200000000000003</v>
      </c>
      <c r="P15" s="132">
        <f>0.24*60</f>
        <v>14.399999999999999</v>
      </c>
      <c r="Q15" s="132">
        <v>10.1</v>
      </c>
      <c r="R15" s="12"/>
      <c r="S15" s="134">
        <v>6000</v>
      </c>
      <c r="T15" s="138">
        <f>0.000032*6000</f>
        <v>0.192</v>
      </c>
      <c r="U15" s="132">
        <f>0.000005*6000</f>
        <v>0.030000000000000002</v>
      </c>
      <c r="V15" s="132">
        <f>0.16*60</f>
        <v>9.6</v>
      </c>
      <c r="W15" s="132">
        <f>0.18*60</f>
        <v>10.799999999999999</v>
      </c>
      <c r="X15" s="132">
        <f>0.19*60</f>
        <v>11.4</v>
      </c>
      <c r="Y15" s="132">
        <v>10.22</v>
      </c>
      <c r="Z15" s="12"/>
      <c r="AA15" s="134">
        <v>6000</v>
      </c>
      <c r="AB15" s="136">
        <f>0.00003*6000</f>
        <v>0.18</v>
      </c>
      <c r="AC15" s="132">
        <f>0.000004*6000</f>
        <v>0.024</v>
      </c>
      <c r="AD15" s="132">
        <f>0.15*60</f>
        <v>9</v>
      </c>
      <c r="AE15" s="132">
        <f>0.18*60</f>
        <v>10.799999999999999</v>
      </c>
      <c r="AF15" s="132">
        <f>0.16*60</f>
        <v>9.6</v>
      </c>
      <c r="AG15" s="132">
        <v>10.24</v>
      </c>
      <c r="AH15" s="12"/>
      <c r="AI15" s="134">
        <v>6000</v>
      </c>
    </row>
    <row r="16" spans="1:35" ht="15">
      <c r="A16" s="116" t="s">
        <v>78</v>
      </c>
      <c r="B16" s="117" t="s">
        <v>82</v>
      </c>
      <c r="C16" s="119"/>
      <c r="D16" s="138">
        <v>0.03175</v>
      </c>
      <c r="E16" s="132">
        <v>-0.000535</v>
      </c>
      <c r="F16" s="132">
        <v>1.45</v>
      </c>
      <c r="G16" s="132">
        <v>2.12</v>
      </c>
      <c r="H16" s="132">
        <v>2.18</v>
      </c>
      <c r="I16" s="133">
        <v>10.36</v>
      </c>
      <c r="J16" s="14" t="s">
        <v>44</v>
      </c>
      <c r="K16" s="134">
        <v>8000</v>
      </c>
      <c r="L16" s="138">
        <f>0.021*1</f>
        <v>0.021</v>
      </c>
      <c r="M16" s="132">
        <v>-0.001338</v>
      </c>
      <c r="N16" s="132">
        <v>1.38</v>
      </c>
      <c r="O16" s="132">
        <v>1.19</v>
      </c>
      <c r="P16" s="132">
        <v>1.54</v>
      </c>
      <c r="Q16" s="132">
        <v>10.26</v>
      </c>
      <c r="R16" s="14"/>
      <c r="S16" s="134">
        <v>8000</v>
      </c>
      <c r="T16" s="138">
        <v>0.041</v>
      </c>
      <c r="U16" s="132">
        <v>-0.00162</v>
      </c>
      <c r="V16" s="132">
        <v>1.77</v>
      </c>
      <c r="W16" s="132">
        <v>2.37</v>
      </c>
      <c r="X16" s="132">
        <v>2.71</v>
      </c>
      <c r="Y16" s="132">
        <v>10.29</v>
      </c>
      <c r="Z16" s="14"/>
      <c r="AA16" s="134">
        <v>8000</v>
      </c>
      <c r="AB16" s="136">
        <v>0.04295</v>
      </c>
      <c r="AC16" s="132">
        <v>-0.000151</v>
      </c>
      <c r="AD16" s="132">
        <v>2.34</v>
      </c>
      <c r="AE16" s="132">
        <v>2.26</v>
      </c>
      <c r="AF16" s="137">
        <v>2.8</v>
      </c>
      <c r="AG16" s="132">
        <v>10.42</v>
      </c>
      <c r="AH16" s="14"/>
      <c r="AI16" s="134">
        <v>8000</v>
      </c>
    </row>
    <row r="17" spans="1:35" ht="15.75" thickBot="1">
      <c r="A17" s="116" t="s">
        <v>78</v>
      </c>
      <c r="B17" s="117" t="s">
        <v>83</v>
      </c>
      <c r="C17" s="119"/>
      <c r="D17" s="138">
        <v>0</v>
      </c>
      <c r="E17" s="132">
        <v>0</v>
      </c>
      <c r="F17" s="132">
        <v>0</v>
      </c>
      <c r="G17" s="132">
        <v>0</v>
      </c>
      <c r="H17" s="132">
        <v>0</v>
      </c>
      <c r="I17" s="133">
        <v>10.33</v>
      </c>
      <c r="J17" s="14" t="s">
        <v>44</v>
      </c>
      <c r="K17" s="134">
        <v>4000</v>
      </c>
      <c r="L17" s="138">
        <v>0</v>
      </c>
      <c r="M17" s="132">
        <v>0</v>
      </c>
      <c r="N17" s="139">
        <v>0</v>
      </c>
      <c r="O17" s="139">
        <v>0</v>
      </c>
      <c r="P17" s="139">
        <v>0</v>
      </c>
      <c r="Q17" s="132">
        <v>10.1</v>
      </c>
      <c r="R17" s="14"/>
      <c r="S17" s="134">
        <v>4000</v>
      </c>
      <c r="T17" s="138">
        <v>0</v>
      </c>
      <c r="U17" s="132">
        <v>0</v>
      </c>
      <c r="V17" s="132">
        <f>SQRT(U17)</f>
        <v>0</v>
      </c>
      <c r="W17" s="132">
        <f>SQRT(V17)</f>
        <v>0</v>
      </c>
      <c r="X17" s="132">
        <f>SQRT(W17)</f>
        <v>0</v>
      </c>
      <c r="Y17" s="132">
        <v>10.22</v>
      </c>
      <c r="Z17" s="14"/>
      <c r="AA17" s="134">
        <v>4000</v>
      </c>
      <c r="AB17" s="136">
        <v>0</v>
      </c>
      <c r="AC17" s="132">
        <v>0</v>
      </c>
      <c r="AD17" s="132">
        <f>SQRT(AC17)</f>
        <v>0</v>
      </c>
      <c r="AE17" s="132">
        <f>SQRT(AD17)</f>
        <v>0</v>
      </c>
      <c r="AF17" s="132">
        <f>SQRT(AE17)</f>
        <v>0</v>
      </c>
      <c r="AG17" s="132">
        <v>10.24</v>
      </c>
      <c r="AH17" s="14"/>
      <c r="AI17" s="134">
        <v>4000</v>
      </c>
    </row>
    <row r="18" spans="1:35" ht="15">
      <c r="A18" s="116" t="s">
        <v>78</v>
      </c>
      <c r="B18" s="117" t="s">
        <v>84</v>
      </c>
      <c r="C18" s="119"/>
      <c r="D18" s="138">
        <f>0.000047*4000</f>
        <v>0.188</v>
      </c>
      <c r="E18" s="132">
        <f>0.000002*4000</f>
        <v>0.008</v>
      </c>
      <c r="F18" s="132">
        <f>0.28*40</f>
        <v>11.200000000000001</v>
      </c>
      <c r="G18" s="132">
        <f>0.24*40</f>
        <v>9.6</v>
      </c>
      <c r="H18" s="132">
        <f>0.26*40</f>
        <v>10.4</v>
      </c>
      <c r="I18" s="133">
        <v>10.33</v>
      </c>
      <c r="J18" s="35" t="s">
        <v>44</v>
      </c>
      <c r="K18" s="134">
        <v>4000</v>
      </c>
      <c r="L18" s="138">
        <f>0.000057*4000</f>
        <v>0.228</v>
      </c>
      <c r="M18" s="132">
        <f>0.000002*4000</f>
        <v>0.008</v>
      </c>
      <c r="N18" s="132">
        <f>0.344*40</f>
        <v>13.759999999999998</v>
      </c>
      <c r="O18" s="132">
        <f>0.305*40</f>
        <v>12.2</v>
      </c>
      <c r="P18" s="132">
        <f>0.332*40</f>
        <v>13.280000000000001</v>
      </c>
      <c r="Q18" s="132">
        <v>10.1</v>
      </c>
      <c r="R18" s="14"/>
      <c r="S18" s="134">
        <v>4000</v>
      </c>
      <c r="T18" s="138">
        <f>0.000059*4000</f>
        <v>0.236</v>
      </c>
      <c r="U18" s="132">
        <f>0.000002*4000</f>
        <v>0.008</v>
      </c>
      <c r="V18" s="132">
        <f>0.362*40</f>
        <v>14.48</v>
      </c>
      <c r="W18" s="132">
        <f>0.307*40</f>
        <v>12.28</v>
      </c>
      <c r="X18" s="132">
        <f>0.333*40</f>
        <v>13.32</v>
      </c>
      <c r="Y18" s="132">
        <v>10.22</v>
      </c>
      <c r="Z18" s="14"/>
      <c r="AA18" s="134">
        <v>4000</v>
      </c>
      <c r="AB18" s="136">
        <f>0.000056*4000</f>
        <v>0.224</v>
      </c>
      <c r="AC18" s="132">
        <f>0.000003*4000</f>
        <v>0.012</v>
      </c>
      <c r="AD18" s="132">
        <f>0.301*40</f>
        <v>12.04</v>
      </c>
      <c r="AE18" s="132">
        <f>0.3*40</f>
        <v>12</v>
      </c>
      <c r="AF18" s="132">
        <f>0.298*40</f>
        <v>11.92</v>
      </c>
      <c r="AG18" s="132">
        <v>11.24</v>
      </c>
      <c r="AH18" s="14"/>
      <c r="AI18" s="134">
        <v>4000</v>
      </c>
    </row>
    <row r="19" spans="1:35" ht="15">
      <c r="A19" s="116" t="s">
        <v>78</v>
      </c>
      <c r="B19" s="117" t="s">
        <v>85</v>
      </c>
      <c r="C19" s="119"/>
      <c r="D19" s="138">
        <f>0.000137*6000</f>
        <v>0.822</v>
      </c>
      <c r="E19" s="132">
        <f>0.000001*6000</f>
        <v>0.006</v>
      </c>
      <c r="F19" s="132">
        <f>0.77*60</f>
        <v>46.2</v>
      </c>
      <c r="G19" s="132">
        <f>0.76*60</f>
        <v>45.6</v>
      </c>
      <c r="H19" s="132">
        <f>0.8*60</f>
        <v>48</v>
      </c>
      <c r="I19" s="133">
        <v>10.33</v>
      </c>
      <c r="J19" s="14" t="s">
        <v>44</v>
      </c>
      <c r="K19" s="134">
        <v>6000</v>
      </c>
      <c r="L19" s="138">
        <f>0.0002*6000</f>
        <v>1.2</v>
      </c>
      <c r="M19" s="132">
        <v>0</v>
      </c>
      <c r="N19" s="132">
        <f>1.099*60</f>
        <v>65.94</v>
      </c>
      <c r="O19" s="132">
        <f>1.128*60</f>
        <v>67.67999999999999</v>
      </c>
      <c r="P19" s="132">
        <f>1.173*60</f>
        <v>70.38</v>
      </c>
      <c r="Q19" s="132">
        <v>10.1</v>
      </c>
      <c r="R19" s="14"/>
      <c r="S19" s="134">
        <v>6000</v>
      </c>
      <c r="T19" s="138">
        <f>0.000227*6000</f>
        <v>1.3619999999999999</v>
      </c>
      <c r="U19" s="132">
        <v>0</v>
      </c>
      <c r="V19" s="132">
        <f>1.3*60</f>
        <v>78</v>
      </c>
      <c r="W19" s="132">
        <f>1.238*60</f>
        <v>74.28</v>
      </c>
      <c r="X19" s="132">
        <f>1.301*60</f>
        <v>78.06</v>
      </c>
      <c r="Y19" s="132">
        <v>10.22</v>
      </c>
      <c r="Z19" s="14"/>
      <c r="AA19" s="134">
        <v>6000</v>
      </c>
      <c r="AB19" s="136">
        <f>0.000224*6000</f>
        <v>1.344</v>
      </c>
      <c r="AC19" s="132">
        <v>0</v>
      </c>
      <c r="AD19" s="132">
        <f>1.3*60</f>
        <v>78</v>
      </c>
      <c r="AE19" s="132">
        <f>1.251*60</f>
        <v>75.05999999999999</v>
      </c>
      <c r="AF19" s="132">
        <f>1.263*60</f>
        <v>75.78</v>
      </c>
      <c r="AG19" s="132">
        <v>10.24</v>
      </c>
      <c r="AH19" s="14"/>
      <c r="AI19" s="134">
        <v>6000</v>
      </c>
    </row>
    <row r="20" spans="1:35" ht="15">
      <c r="A20" s="116" t="s">
        <v>78</v>
      </c>
      <c r="B20" s="117" t="s">
        <v>86</v>
      </c>
      <c r="C20" s="119" t="s">
        <v>91</v>
      </c>
      <c r="D20" s="138">
        <v>4E-05</v>
      </c>
      <c r="E20" s="132">
        <v>0</v>
      </c>
      <c r="F20" s="132">
        <v>0.35</v>
      </c>
      <c r="G20" s="132">
        <v>0.07</v>
      </c>
      <c r="H20" s="132">
        <v>0.001</v>
      </c>
      <c r="I20" s="133">
        <v>10.33</v>
      </c>
      <c r="J20" s="14" t="s">
        <v>44</v>
      </c>
      <c r="K20" s="134">
        <v>1</v>
      </c>
      <c r="L20" s="138">
        <v>3.8E-05</v>
      </c>
      <c r="M20" s="132">
        <v>0</v>
      </c>
      <c r="N20" s="132">
        <v>0.317</v>
      </c>
      <c r="O20" s="132">
        <v>0.076</v>
      </c>
      <c r="P20" s="132">
        <v>0.013</v>
      </c>
      <c r="Q20" s="132">
        <v>10.1</v>
      </c>
      <c r="R20" s="14"/>
      <c r="S20" s="134">
        <v>1</v>
      </c>
      <c r="T20" s="138">
        <v>3.7E-05</v>
      </c>
      <c r="U20" s="132">
        <v>0</v>
      </c>
      <c r="V20" s="132">
        <v>0.298</v>
      </c>
      <c r="W20" s="132">
        <v>0.07</v>
      </c>
      <c r="X20" s="140">
        <v>0.013</v>
      </c>
      <c r="Y20" s="132">
        <v>10.22</v>
      </c>
      <c r="Z20" s="14"/>
      <c r="AA20" s="134">
        <v>1</v>
      </c>
      <c r="AB20" s="136">
        <v>3.7E-05</v>
      </c>
      <c r="AC20" s="132">
        <v>0</v>
      </c>
      <c r="AD20" s="132">
        <v>0.324</v>
      </c>
      <c r="AE20" s="140">
        <v>0.07</v>
      </c>
      <c r="AF20" s="132">
        <v>0.013</v>
      </c>
      <c r="AG20" s="132">
        <v>10.24</v>
      </c>
      <c r="AH20" s="14"/>
      <c r="AI20" s="134">
        <v>1</v>
      </c>
    </row>
    <row r="21" spans="1:35" ht="15">
      <c r="A21" s="116" t="s">
        <v>78</v>
      </c>
      <c r="B21" s="117" t="s">
        <v>87</v>
      </c>
      <c r="C21" s="119" t="s">
        <v>91</v>
      </c>
      <c r="D21" s="138">
        <v>6E-06</v>
      </c>
      <c r="E21" s="132">
        <v>0</v>
      </c>
      <c r="F21" s="132">
        <v>0.048</v>
      </c>
      <c r="G21" s="132">
        <v>0.07</v>
      </c>
      <c r="H21" s="132">
        <v>0.001</v>
      </c>
      <c r="I21" s="133">
        <v>10.36</v>
      </c>
      <c r="J21" s="14" t="s">
        <v>44</v>
      </c>
      <c r="K21" s="134">
        <v>1</v>
      </c>
      <c r="L21" s="138">
        <v>6E-06</v>
      </c>
      <c r="M21" s="132">
        <v>0</v>
      </c>
      <c r="N21" s="132">
        <v>0.045</v>
      </c>
      <c r="O21" s="132">
        <v>0.079</v>
      </c>
      <c r="P21" s="132">
        <v>0.013</v>
      </c>
      <c r="Q21" s="132">
        <v>10.26</v>
      </c>
      <c r="R21" s="14"/>
      <c r="S21" s="134">
        <v>1</v>
      </c>
      <c r="T21" s="138">
        <v>8E-06</v>
      </c>
      <c r="U21" s="132">
        <v>0</v>
      </c>
      <c r="V21" s="132">
        <v>0.045</v>
      </c>
      <c r="W21" s="132">
        <v>0.08</v>
      </c>
      <c r="X21" s="132">
        <v>0.013</v>
      </c>
      <c r="Y21" s="132">
        <v>10.29</v>
      </c>
      <c r="Z21" s="14"/>
      <c r="AA21" s="134">
        <v>1</v>
      </c>
      <c r="AB21" s="136">
        <v>8.3E-05</v>
      </c>
      <c r="AC21" s="132">
        <v>0</v>
      </c>
      <c r="AD21" s="132">
        <v>0.34</v>
      </c>
      <c r="AE21" s="132">
        <v>0.077</v>
      </c>
      <c r="AF21" s="132">
        <v>0.013</v>
      </c>
      <c r="AG21" s="132">
        <v>10.42</v>
      </c>
      <c r="AH21" s="14"/>
      <c r="AI21" s="134">
        <v>1</v>
      </c>
    </row>
    <row r="22" spans="1:35" ht="15">
      <c r="A22" s="116" t="s">
        <v>78</v>
      </c>
      <c r="B22" s="117" t="s">
        <v>88</v>
      </c>
      <c r="C22" s="119"/>
      <c r="D22" s="138">
        <f>0.000131*6000</f>
        <v>0.786</v>
      </c>
      <c r="E22" s="132">
        <f>0.000002*6000</f>
        <v>0.012</v>
      </c>
      <c r="F22" s="132">
        <f>0.71*60</f>
        <v>42.599999999999994</v>
      </c>
      <c r="G22" s="132">
        <f>0.73*60</f>
        <v>43.8</v>
      </c>
      <c r="H22" s="132">
        <f>0.76*60</f>
        <v>45.6</v>
      </c>
      <c r="I22" s="133">
        <v>10.36</v>
      </c>
      <c r="J22" s="14" t="s">
        <v>44</v>
      </c>
      <c r="K22" s="134">
        <v>6000</v>
      </c>
      <c r="L22" s="138">
        <f>0.000195*6000</f>
        <v>1.17</v>
      </c>
      <c r="M22" s="132">
        <f>0.000004*6000</f>
        <v>0.024</v>
      </c>
      <c r="N22" s="132">
        <f>1.081*60</f>
        <v>64.86</v>
      </c>
      <c r="O22" s="132">
        <f>1.043*60</f>
        <v>62.58</v>
      </c>
      <c r="P22" s="132">
        <f>1.088*60</f>
        <v>65.28</v>
      </c>
      <c r="Q22" s="132">
        <v>10.26</v>
      </c>
      <c r="R22" s="12"/>
      <c r="S22" s="134">
        <v>6000</v>
      </c>
      <c r="T22" s="138">
        <f>0.000198*6000</f>
        <v>1.188</v>
      </c>
      <c r="U22" s="132">
        <f>0.000001*6000</f>
        <v>0.006</v>
      </c>
      <c r="V22" s="132">
        <f>1.096*60</f>
        <v>65.76</v>
      </c>
      <c r="W22" s="132">
        <f>1.098*60</f>
        <v>65.88000000000001</v>
      </c>
      <c r="X22" s="132">
        <f>1.093*60</f>
        <v>65.58</v>
      </c>
      <c r="Y22" s="132">
        <v>10.29</v>
      </c>
      <c r="Z22" s="12"/>
      <c r="AA22" s="134">
        <v>6000</v>
      </c>
      <c r="AB22" s="136">
        <f>0.00017*6000</f>
        <v>1.02</v>
      </c>
      <c r="AC22" s="132">
        <f>0.000026*6000</f>
        <v>0.156</v>
      </c>
      <c r="AD22" s="132">
        <f>0.97*60</f>
        <v>58.199999999999996</v>
      </c>
      <c r="AE22" s="132">
        <f>0.954*60</f>
        <v>57.239999999999995</v>
      </c>
      <c r="AF22" s="132">
        <f>0.945*60</f>
        <v>56.699999999999996</v>
      </c>
      <c r="AG22" s="132">
        <v>10.42</v>
      </c>
      <c r="AH22" s="12"/>
      <c r="AI22" s="134">
        <v>6000</v>
      </c>
    </row>
    <row r="23" spans="1:35" ht="15">
      <c r="A23" s="116" t="s">
        <v>78</v>
      </c>
      <c r="B23" s="117" t="s">
        <v>89</v>
      </c>
      <c r="C23" s="119"/>
      <c r="D23" s="138">
        <f>0.000125*2000</f>
        <v>0.25</v>
      </c>
      <c r="E23" s="132">
        <f>0.000004*2000</f>
        <v>0.008</v>
      </c>
      <c r="F23" s="132">
        <f>0.62*20</f>
        <v>12.4</v>
      </c>
      <c r="G23" s="132">
        <f>0.64*20</f>
        <v>12.8</v>
      </c>
      <c r="H23" s="132">
        <f>0.63*20</f>
        <v>12.6</v>
      </c>
      <c r="I23" s="133">
        <v>10.36</v>
      </c>
      <c r="J23" s="14" t="s">
        <v>44</v>
      </c>
      <c r="K23" s="134">
        <v>2000</v>
      </c>
      <c r="L23" s="138">
        <f>0.000112*2000</f>
        <v>0.224</v>
      </c>
      <c r="M23" s="132">
        <f>0.000003*2000</f>
        <v>0.006</v>
      </c>
      <c r="N23" s="132">
        <f>0.628*20</f>
        <v>12.56</v>
      </c>
      <c r="O23" s="132">
        <f>0.593*20</f>
        <v>11.86</v>
      </c>
      <c r="P23" s="132">
        <f>0.671*20</f>
        <v>13.420000000000002</v>
      </c>
      <c r="Q23" s="132">
        <v>10.26</v>
      </c>
      <c r="R23" s="14"/>
      <c r="S23" s="134">
        <v>2000</v>
      </c>
      <c r="T23" s="138">
        <f>0.000121*2000</f>
        <v>0.242</v>
      </c>
      <c r="U23" s="132">
        <f>0.000002*2000</f>
        <v>0.004</v>
      </c>
      <c r="V23" s="132">
        <f>0.67*20</f>
        <v>13.4</v>
      </c>
      <c r="W23" s="132">
        <f>0.65*20</f>
        <v>13</v>
      </c>
      <c r="X23" s="132">
        <f>0.7*20</f>
        <v>14</v>
      </c>
      <c r="Y23" s="132">
        <v>10.29</v>
      </c>
      <c r="Z23" s="14"/>
      <c r="AA23" s="134">
        <v>2000</v>
      </c>
      <c r="AB23" s="136">
        <f>0.000137*2000</f>
        <v>0.27399999999999997</v>
      </c>
      <c r="AC23" s="132">
        <f>0.000002*2000</f>
        <v>0.004</v>
      </c>
      <c r="AD23" s="132">
        <f>0.761*20</f>
        <v>15.22</v>
      </c>
      <c r="AE23" s="132">
        <f>0.736*20</f>
        <v>14.719999999999999</v>
      </c>
      <c r="AF23" s="132">
        <f>0.765*20</f>
        <v>15.3</v>
      </c>
      <c r="AG23" s="132">
        <v>10.42</v>
      </c>
      <c r="AH23" s="14"/>
      <c r="AI23" s="134">
        <v>2000</v>
      </c>
    </row>
    <row r="24" spans="1:35" ht="15">
      <c r="A24" s="116" t="s">
        <v>78</v>
      </c>
      <c r="B24" s="117" t="s">
        <v>90</v>
      </c>
      <c r="C24" s="119"/>
      <c r="D24" s="138">
        <f>0.0000183*6000</f>
        <v>0.10980000000000001</v>
      </c>
      <c r="E24" s="132">
        <f>0.00000204*6000</f>
        <v>0.01224</v>
      </c>
      <c r="F24" s="132">
        <f>0.15*60</f>
        <v>9</v>
      </c>
      <c r="G24" s="132">
        <v>0</v>
      </c>
      <c r="H24" s="132">
        <f>0.14*60</f>
        <v>8.4</v>
      </c>
      <c r="I24" s="133">
        <v>10.36</v>
      </c>
      <c r="J24" s="14" t="s">
        <v>44</v>
      </c>
      <c r="K24" s="134">
        <v>6000</v>
      </c>
      <c r="L24" s="138">
        <f>0.000023*6000</f>
        <v>0.138</v>
      </c>
      <c r="M24" s="132">
        <f>0.000001*6000</f>
        <v>0.006</v>
      </c>
      <c r="N24" s="132">
        <f>0.18*60</f>
        <v>10.799999999999999</v>
      </c>
      <c r="O24" s="132">
        <v>0</v>
      </c>
      <c r="P24" s="132">
        <f>0.19*60</f>
        <v>11.4</v>
      </c>
      <c r="Q24" s="132">
        <v>10.26</v>
      </c>
      <c r="R24" s="14"/>
      <c r="S24" s="134">
        <v>6000</v>
      </c>
      <c r="T24" s="138">
        <f>0.000028*6000</f>
        <v>0.168</v>
      </c>
      <c r="U24" s="132">
        <f>0.000003*6000</f>
        <v>0.018000000000000002</v>
      </c>
      <c r="V24" s="132">
        <f>0.22*60</f>
        <v>13.2</v>
      </c>
      <c r="W24" s="132">
        <v>0</v>
      </c>
      <c r="X24" s="132">
        <f>0.23*60</f>
        <v>13.8</v>
      </c>
      <c r="Y24" s="132">
        <v>10.29</v>
      </c>
      <c r="Z24" s="14"/>
      <c r="AA24" s="134">
        <v>6000</v>
      </c>
      <c r="AB24" s="136">
        <f>0.000022*6000</f>
        <v>0.132</v>
      </c>
      <c r="AC24" s="132">
        <f>0.000003*6000</f>
        <v>0.018000000000000002</v>
      </c>
      <c r="AD24" s="132">
        <f>0.19*60</f>
        <v>11.4</v>
      </c>
      <c r="AE24" s="132">
        <v>0</v>
      </c>
      <c r="AF24" s="132">
        <f>0.19*60</f>
        <v>11.4</v>
      </c>
      <c r="AG24" s="132">
        <v>10.42</v>
      </c>
      <c r="AH24" s="14"/>
      <c r="AI24" s="134">
        <v>6000</v>
      </c>
    </row>
    <row r="25" spans="1:35" ht="15">
      <c r="A25" s="36"/>
      <c r="B25" s="8"/>
      <c r="C25" s="9"/>
      <c r="D25" s="10"/>
      <c r="E25" s="11"/>
      <c r="F25" s="12"/>
      <c r="G25" s="12"/>
      <c r="H25" s="12"/>
      <c r="I25" s="13"/>
      <c r="J25" s="14"/>
      <c r="K25" s="16"/>
      <c r="L25" s="10"/>
      <c r="M25" s="11"/>
      <c r="N25" s="12"/>
      <c r="O25" s="12"/>
      <c r="P25" s="12"/>
      <c r="Q25" s="13"/>
      <c r="R25" s="14"/>
      <c r="S25" s="16"/>
      <c r="T25" s="10"/>
      <c r="U25" s="11"/>
      <c r="V25" s="12"/>
      <c r="W25" s="12"/>
      <c r="X25" s="12"/>
      <c r="Y25" s="13"/>
      <c r="Z25" s="14"/>
      <c r="AA25" s="16"/>
      <c r="AB25" s="10"/>
      <c r="AC25" s="11"/>
      <c r="AD25" s="12"/>
      <c r="AE25" s="12"/>
      <c r="AF25" s="12"/>
      <c r="AG25" s="13"/>
      <c r="AH25" s="14"/>
      <c r="AI25" s="37"/>
    </row>
    <row r="26" spans="1:35" ht="15">
      <c r="A26" s="36"/>
      <c r="B26" s="8"/>
      <c r="C26" s="9"/>
      <c r="D26" s="10"/>
      <c r="E26" s="11"/>
      <c r="F26" s="12"/>
      <c r="G26" s="12"/>
      <c r="H26" s="12"/>
      <c r="I26" s="13"/>
      <c r="J26" s="14"/>
      <c r="K26" s="16"/>
      <c r="L26" s="10"/>
      <c r="M26" s="11"/>
      <c r="N26" s="12"/>
      <c r="O26" s="12"/>
      <c r="P26" s="12"/>
      <c r="Q26" s="13"/>
      <c r="R26" s="14"/>
      <c r="S26" s="16"/>
      <c r="T26" s="10"/>
      <c r="U26" s="11"/>
      <c r="V26" s="12"/>
      <c r="W26" s="12"/>
      <c r="X26" s="12"/>
      <c r="Y26" s="13"/>
      <c r="Z26" s="14"/>
      <c r="AA26" s="16"/>
      <c r="AB26" s="10"/>
      <c r="AC26" s="11"/>
      <c r="AD26" s="12"/>
      <c r="AE26" s="12"/>
      <c r="AF26" s="12"/>
      <c r="AG26" s="13"/>
      <c r="AH26" s="14"/>
      <c r="AI26" s="37"/>
    </row>
    <row r="27" spans="1:35" ht="15">
      <c r="A27" s="36"/>
      <c r="B27" s="8"/>
      <c r="C27" s="9"/>
      <c r="D27" s="10"/>
      <c r="E27" s="11"/>
      <c r="F27" s="12"/>
      <c r="G27" s="12"/>
      <c r="H27" s="12"/>
      <c r="I27" s="13"/>
      <c r="J27" s="14"/>
      <c r="K27" s="16"/>
      <c r="L27" s="10"/>
      <c r="M27" s="11"/>
      <c r="N27" s="12"/>
      <c r="O27" s="12"/>
      <c r="P27" s="12"/>
      <c r="Q27" s="13"/>
      <c r="R27" s="14"/>
      <c r="S27" s="16"/>
      <c r="T27" s="10"/>
      <c r="U27" s="11"/>
      <c r="V27" s="12"/>
      <c r="W27" s="12"/>
      <c r="X27" s="12"/>
      <c r="Y27" s="13"/>
      <c r="Z27" s="14"/>
      <c r="AA27" s="16"/>
      <c r="AB27" s="10"/>
      <c r="AC27" s="11"/>
      <c r="AD27" s="12"/>
      <c r="AE27" s="12"/>
      <c r="AF27" s="12"/>
      <c r="AG27" s="13"/>
      <c r="AH27" s="14"/>
      <c r="AI27" s="37"/>
    </row>
    <row r="28" spans="1:35" ht="15">
      <c r="A28" s="36"/>
      <c r="B28" s="8"/>
      <c r="C28" s="9"/>
      <c r="D28" s="10"/>
      <c r="E28" s="11"/>
      <c r="F28" s="12"/>
      <c r="G28" s="12"/>
      <c r="H28" s="12"/>
      <c r="I28" s="13"/>
      <c r="J28" s="12"/>
      <c r="K28" s="15"/>
      <c r="L28" s="10"/>
      <c r="M28" s="11"/>
      <c r="N28" s="12"/>
      <c r="O28" s="12"/>
      <c r="P28" s="12"/>
      <c r="Q28" s="13"/>
      <c r="R28" s="12"/>
      <c r="S28" s="15"/>
      <c r="T28" s="10"/>
      <c r="U28" s="11"/>
      <c r="V28" s="12"/>
      <c r="W28" s="12"/>
      <c r="X28" s="12"/>
      <c r="Y28" s="13"/>
      <c r="Z28" s="12"/>
      <c r="AA28" s="15"/>
      <c r="AB28" s="10"/>
      <c r="AC28" s="11"/>
      <c r="AD28" s="12"/>
      <c r="AE28" s="12"/>
      <c r="AF28" s="12"/>
      <c r="AG28" s="13"/>
      <c r="AH28" s="12"/>
      <c r="AI28" s="38"/>
    </row>
    <row r="29" spans="1:35" ht="15">
      <c r="A29" s="36"/>
      <c r="B29" s="8"/>
      <c r="C29" s="9"/>
      <c r="D29" s="10"/>
      <c r="E29" s="11"/>
      <c r="F29" s="12"/>
      <c r="G29" s="12"/>
      <c r="H29" s="12"/>
      <c r="I29" s="13"/>
      <c r="J29" s="14"/>
      <c r="K29" s="16"/>
      <c r="L29" s="10"/>
      <c r="M29" s="11"/>
      <c r="N29" s="12"/>
      <c r="O29" s="12"/>
      <c r="P29" s="12"/>
      <c r="Q29" s="13"/>
      <c r="R29" s="14"/>
      <c r="S29" s="16"/>
      <c r="T29" s="10"/>
      <c r="U29" s="11"/>
      <c r="V29" s="12"/>
      <c r="W29" s="12"/>
      <c r="X29" s="12"/>
      <c r="Y29" s="13"/>
      <c r="Z29" s="14"/>
      <c r="AA29" s="16"/>
      <c r="AB29" s="10"/>
      <c r="AC29" s="11"/>
      <c r="AD29" s="12"/>
      <c r="AE29" s="12"/>
      <c r="AF29" s="12"/>
      <c r="AG29" s="13"/>
      <c r="AH29" s="14"/>
      <c r="AI29" s="37"/>
    </row>
    <row r="30" spans="1:35" ht="15">
      <c r="A30" s="36"/>
      <c r="B30" s="8"/>
      <c r="C30" s="17"/>
      <c r="D30" s="18"/>
      <c r="E30" s="13"/>
      <c r="F30" s="14"/>
      <c r="G30" s="14"/>
      <c r="H30" s="14"/>
      <c r="I30" s="11"/>
      <c r="J30" s="14"/>
      <c r="K30" s="16"/>
      <c r="L30" s="18"/>
      <c r="M30" s="13"/>
      <c r="N30" s="14"/>
      <c r="O30" s="14"/>
      <c r="P30" s="14"/>
      <c r="Q30" s="11"/>
      <c r="R30" s="14"/>
      <c r="S30" s="16"/>
      <c r="T30" s="18"/>
      <c r="U30" s="13"/>
      <c r="V30" s="14"/>
      <c r="W30" s="14"/>
      <c r="X30" s="14"/>
      <c r="Y30" s="11"/>
      <c r="Z30" s="14"/>
      <c r="AA30" s="16"/>
      <c r="AB30" s="18"/>
      <c r="AC30" s="13"/>
      <c r="AD30" s="14"/>
      <c r="AE30" s="14"/>
      <c r="AF30" s="14"/>
      <c r="AG30" s="11"/>
      <c r="AH30" s="14"/>
      <c r="AI30" s="37"/>
    </row>
    <row r="31" spans="1:35" ht="15">
      <c r="A31" s="36"/>
      <c r="B31" s="8"/>
      <c r="C31" s="9"/>
      <c r="D31" s="10"/>
      <c r="E31" s="11"/>
      <c r="F31" s="12"/>
      <c r="G31" s="12"/>
      <c r="H31" s="12"/>
      <c r="I31" s="13"/>
      <c r="J31" s="14"/>
      <c r="K31" s="16"/>
      <c r="L31" s="10"/>
      <c r="M31" s="11"/>
      <c r="N31" s="12"/>
      <c r="O31" s="12"/>
      <c r="P31" s="12"/>
      <c r="Q31" s="13"/>
      <c r="R31" s="14"/>
      <c r="S31" s="16"/>
      <c r="T31" s="10"/>
      <c r="U31" s="11"/>
      <c r="V31" s="12"/>
      <c r="W31" s="12"/>
      <c r="X31" s="12"/>
      <c r="Y31" s="13"/>
      <c r="Z31" s="14"/>
      <c r="AA31" s="16"/>
      <c r="AB31" s="10"/>
      <c r="AC31" s="11"/>
      <c r="AD31" s="12"/>
      <c r="AE31" s="12"/>
      <c r="AF31" s="12"/>
      <c r="AG31" s="13"/>
      <c r="AH31" s="14"/>
      <c r="AI31" s="37"/>
    </row>
    <row r="32" spans="1:35" ht="15">
      <c r="A32" s="36"/>
      <c r="B32" s="8"/>
      <c r="C32" s="9"/>
      <c r="D32" s="10"/>
      <c r="E32" s="11"/>
      <c r="F32" s="12"/>
      <c r="G32" s="12"/>
      <c r="H32" s="12"/>
      <c r="I32" s="13"/>
      <c r="J32" s="14"/>
      <c r="K32" s="16"/>
      <c r="L32" s="10"/>
      <c r="M32" s="11"/>
      <c r="N32" s="12"/>
      <c r="O32" s="12"/>
      <c r="P32" s="12"/>
      <c r="Q32" s="13"/>
      <c r="R32" s="14"/>
      <c r="S32" s="16"/>
      <c r="T32" s="10"/>
      <c r="U32" s="11"/>
      <c r="V32" s="12"/>
      <c r="W32" s="12"/>
      <c r="X32" s="12"/>
      <c r="Y32" s="13"/>
      <c r="Z32" s="14"/>
      <c r="AA32" s="16"/>
      <c r="AB32" s="10"/>
      <c r="AC32" s="11"/>
      <c r="AD32" s="12"/>
      <c r="AE32" s="12"/>
      <c r="AF32" s="12"/>
      <c r="AG32" s="13"/>
      <c r="AH32" s="14"/>
      <c r="AI32" s="37"/>
    </row>
    <row r="33" spans="1:35" ht="15">
      <c r="A33" s="36"/>
      <c r="B33" s="8"/>
      <c r="C33" s="9"/>
      <c r="D33" s="10"/>
      <c r="E33" s="11"/>
      <c r="F33" s="12"/>
      <c r="G33" s="12"/>
      <c r="H33" s="12"/>
      <c r="I33" s="13"/>
      <c r="J33" s="14"/>
      <c r="K33" s="16"/>
      <c r="L33" s="10"/>
      <c r="M33" s="11"/>
      <c r="N33" s="12"/>
      <c r="O33" s="12"/>
      <c r="P33" s="12"/>
      <c r="Q33" s="13"/>
      <c r="R33" s="14"/>
      <c r="S33" s="16"/>
      <c r="T33" s="10"/>
      <c r="U33" s="11"/>
      <c r="V33" s="12"/>
      <c r="W33" s="12"/>
      <c r="X33" s="12"/>
      <c r="Y33" s="13"/>
      <c r="Z33" s="14"/>
      <c r="AA33" s="16"/>
      <c r="AB33" s="10"/>
      <c r="AC33" s="11"/>
      <c r="AD33" s="12"/>
      <c r="AE33" s="12"/>
      <c r="AF33" s="12"/>
      <c r="AG33" s="13"/>
      <c r="AH33" s="14"/>
      <c r="AI33" s="37"/>
    </row>
    <row r="34" spans="1:35" ht="15">
      <c r="A34" s="36"/>
      <c r="B34" s="8"/>
      <c r="C34" s="9"/>
      <c r="D34" s="10"/>
      <c r="E34" s="11"/>
      <c r="F34" s="12"/>
      <c r="G34" s="12"/>
      <c r="H34" s="12"/>
      <c r="I34" s="13"/>
      <c r="J34" s="14"/>
      <c r="K34" s="16"/>
      <c r="L34" s="10"/>
      <c r="M34" s="11"/>
      <c r="N34" s="12"/>
      <c r="O34" s="12"/>
      <c r="P34" s="12"/>
      <c r="Q34" s="13"/>
      <c r="R34" s="14"/>
      <c r="S34" s="16"/>
      <c r="T34" s="10"/>
      <c r="U34" s="11"/>
      <c r="V34" s="12"/>
      <c r="W34" s="12"/>
      <c r="X34" s="12"/>
      <c r="Y34" s="13"/>
      <c r="Z34" s="14"/>
      <c r="AA34" s="16"/>
      <c r="AB34" s="10"/>
      <c r="AC34" s="11"/>
      <c r="AD34" s="12"/>
      <c r="AE34" s="12"/>
      <c r="AF34" s="12"/>
      <c r="AG34" s="13"/>
      <c r="AH34" s="14"/>
      <c r="AI34" s="37"/>
    </row>
    <row r="35" spans="1:35" ht="15">
      <c r="A35" s="36"/>
      <c r="B35" s="8"/>
      <c r="C35" s="9"/>
      <c r="D35" s="10"/>
      <c r="E35" s="11"/>
      <c r="F35" s="12"/>
      <c r="G35" s="12"/>
      <c r="H35" s="12"/>
      <c r="I35" s="13"/>
      <c r="J35" s="14"/>
      <c r="K35" s="16"/>
      <c r="L35" s="10"/>
      <c r="M35" s="11"/>
      <c r="N35" s="12"/>
      <c r="O35" s="12"/>
      <c r="P35" s="12"/>
      <c r="Q35" s="13"/>
      <c r="R35" s="14"/>
      <c r="S35" s="16"/>
      <c r="T35" s="10"/>
      <c r="U35" s="11"/>
      <c r="V35" s="12"/>
      <c r="W35" s="12"/>
      <c r="X35" s="12"/>
      <c r="Y35" s="13"/>
      <c r="Z35" s="14"/>
      <c r="AA35" s="16"/>
      <c r="AB35" s="10"/>
      <c r="AC35" s="11"/>
      <c r="AD35" s="12"/>
      <c r="AE35" s="12"/>
      <c r="AF35" s="12"/>
      <c r="AG35" s="13"/>
      <c r="AH35" s="14"/>
      <c r="AI35" s="37"/>
    </row>
    <row r="36" spans="1:35" ht="15">
      <c r="A36" s="36"/>
      <c r="B36" s="8"/>
      <c r="C36" s="9"/>
      <c r="D36" s="10"/>
      <c r="E36" s="11"/>
      <c r="F36" s="12"/>
      <c r="G36" s="12"/>
      <c r="H36" s="12"/>
      <c r="I36" s="13"/>
      <c r="J36" s="14"/>
      <c r="K36" s="16"/>
      <c r="L36" s="10"/>
      <c r="M36" s="11"/>
      <c r="N36" s="12"/>
      <c r="O36" s="12"/>
      <c r="P36" s="12"/>
      <c r="Q36" s="13"/>
      <c r="R36" s="14"/>
      <c r="S36" s="16"/>
      <c r="T36" s="10"/>
      <c r="U36" s="11"/>
      <c r="V36" s="12"/>
      <c r="W36" s="12"/>
      <c r="X36" s="12"/>
      <c r="Y36" s="13"/>
      <c r="Z36" s="14"/>
      <c r="AA36" s="16"/>
      <c r="AB36" s="10"/>
      <c r="AC36" s="11"/>
      <c r="AD36" s="12"/>
      <c r="AE36" s="12"/>
      <c r="AF36" s="12"/>
      <c r="AG36" s="13"/>
      <c r="AH36" s="14"/>
      <c r="AI36" s="37"/>
    </row>
    <row r="37" spans="1:35" ht="15">
      <c r="A37" s="36"/>
      <c r="B37" s="8"/>
      <c r="C37" s="9"/>
      <c r="D37" s="10"/>
      <c r="E37" s="11"/>
      <c r="F37" s="12"/>
      <c r="G37" s="12"/>
      <c r="H37" s="12"/>
      <c r="I37" s="13"/>
      <c r="J37" s="14"/>
      <c r="K37" s="16"/>
      <c r="L37" s="10"/>
      <c r="M37" s="11"/>
      <c r="N37" s="12"/>
      <c r="O37" s="12"/>
      <c r="P37" s="12"/>
      <c r="Q37" s="13"/>
      <c r="R37" s="14"/>
      <c r="S37" s="16"/>
      <c r="T37" s="10"/>
      <c r="U37" s="11"/>
      <c r="V37" s="12"/>
      <c r="W37" s="12"/>
      <c r="X37" s="12"/>
      <c r="Y37" s="13"/>
      <c r="Z37" s="14"/>
      <c r="AA37" s="16"/>
      <c r="AB37" s="10"/>
      <c r="AC37" s="11"/>
      <c r="AD37" s="12"/>
      <c r="AE37" s="12"/>
      <c r="AF37" s="12"/>
      <c r="AG37" s="13"/>
      <c r="AH37" s="14"/>
      <c r="AI37" s="37"/>
    </row>
    <row r="38" spans="1:35" ht="12.75" customHeight="1">
      <c r="A38" s="36"/>
      <c r="B38" s="8"/>
      <c r="C38" s="9"/>
      <c r="D38" s="10"/>
      <c r="E38" s="11"/>
      <c r="F38" s="12"/>
      <c r="G38" s="12"/>
      <c r="H38" s="12"/>
      <c r="I38" s="13"/>
      <c r="J38" s="14"/>
      <c r="K38" s="16"/>
      <c r="L38" s="10"/>
      <c r="M38" s="11"/>
      <c r="N38" s="12"/>
      <c r="O38" s="12"/>
      <c r="P38" s="12"/>
      <c r="Q38" s="13"/>
      <c r="R38" s="14"/>
      <c r="S38" s="16"/>
      <c r="T38" s="10"/>
      <c r="U38" s="11"/>
      <c r="V38" s="12"/>
      <c r="W38" s="12"/>
      <c r="X38" s="12"/>
      <c r="Y38" s="13"/>
      <c r="Z38" s="14"/>
      <c r="AA38" s="16"/>
      <c r="AB38" s="10"/>
      <c r="AC38" s="11"/>
      <c r="AD38" s="12"/>
      <c r="AE38" s="12"/>
      <c r="AF38" s="12"/>
      <c r="AG38" s="13"/>
      <c r="AH38" s="14"/>
      <c r="AI38" s="37"/>
    </row>
    <row r="39" spans="1:35" ht="12.75" customHeight="1">
      <c r="A39" s="36"/>
      <c r="B39" s="8"/>
      <c r="C39" s="9"/>
      <c r="D39" s="10"/>
      <c r="E39" s="11"/>
      <c r="F39" s="12"/>
      <c r="G39" s="12"/>
      <c r="H39" s="12"/>
      <c r="I39" s="13"/>
      <c r="J39" s="14"/>
      <c r="K39" s="16"/>
      <c r="L39" s="10"/>
      <c r="M39" s="11"/>
      <c r="N39" s="12"/>
      <c r="O39" s="12"/>
      <c r="P39" s="12"/>
      <c r="Q39" s="13"/>
      <c r="R39" s="14"/>
      <c r="S39" s="16"/>
      <c r="T39" s="10"/>
      <c r="U39" s="11"/>
      <c r="V39" s="12"/>
      <c r="W39" s="12"/>
      <c r="X39" s="12"/>
      <c r="Y39" s="13"/>
      <c r="Z39" s="14"/>
      <c r="AA39" s="16"/>
      <c r="AB39" s="10"/>
      <c r="AC39" s="11"/>
      <c r="AD39" s="12"/>
      <c r="AE39" s="12"/>
      <c r="AF39" s="12"/>
      <c r="AG39" s="13"/>
      <c r="AH39" s="14"/>
      <c r="AI39" s="37"/>
    </row>
    <row r="40" spans="1:35" ht="15">
      <c r="A40" s="36"/>
      <c r="B40" s="8"/>
      <c r="C40" s="9"/>
      <c r="D40" s="10"/>
      <c r="E40" s="11"/>
      <c r="F40" s="12"/>
      <c r="G40" s="12"/>
      <c r="H40" s="12"/>
      <c r="I40" s="13"/>
      <c r="J40" s="14"/>
      <c r="K40" s="16"/>
      <c r="L40" s="10"/>
      <c r="M40" s="11"/>
      <c r="N40" s="12"/>
      <c r="O40" s="12"/>
      <c r="P40" s="12"/>
      <c r="Q40" s="13"/>
      <c r="R40" s="14"/>
      <c r="S40" s="16"/>
      <c r="T40" s="10"/>
      <c r="U40" s="11"/>
      <c r="V40" s="12"/>
      <c r="W40" s="12"/>
      <c r="X40" s="12"/>
      <c r="Y40" s="13"/>
      <c r="Z40" s="14"/>
      <c r="AA40" s="16"/>
      <c r="AB40" s="10"/>
      <c r="AC40" s="11"/>
      <c r="AD40" s="12"/>
      <c r="AE40" s="12"/>
      <c r="AF40" s="12"/>
      <c r="AG40" s="13"/>
      <c r="AH40" s="14"/>
      <c r="AI40" s="37"/>
    </row>
    <row r="41" spans="1:35" ht="12.75" customHeight="1">
      <c r="A41" s="36"/>
      <c r="B41" s="8"/>
      <c r="C41" s="17"/>
      <c r="D41" s="18"/>
      <c r="E41" s="13"/>
      <c r="F41" s="14"/>
      <c r="G41" s="14"/>
      <c r="H41" s="14"/>
      <c r="I41" s="11"/>
      <c r="J41" s="14"/>
      <c r="K41" s="16"/>
      <c r="L41" s="18"/>
      <c r="M41" s="13"/>
      <c r="N41" s="14"/>
      <c r="O41" s="14"/>
      <c r="P41" s="14"/>
      <c r="Q41" s="11"/>
      <c r="R41" s="14"/>
      <c r="S41" s="16"/>
      <c r="T41" s="18"/>
      <c r="U41" s="13"/>
      <c r="V41" s="14"/>
      <c r="W41" s="14"/>
      <c r="X41" s="14"/>
      <c r="Y41" s="11"/>
      <c r="Z41" s="14"/>
      <c r="AA41" s="16"/>
      <c r="AB41" s="18"/>
      <c r="AC41" s="13"/>
      <c r="AD41" s="14"/>
      <c r="AE41" s="14"/>
      <c r="AF41" s="14"/>
      <c r="AG41" s="11"/>
      <c r="AH41" s="14"/>
      <c r="AI41" s="37"/>
    </row>
    <row r="42" spans="1:35" ht="12.75" customHeight="1">
      <c r="A42" s="36"/>
      <c r="B42" s="8"/>
      <c r="C42" s="9"/>
      <c r="D42" s="10"/>
      <c r="E42" s="11"/>
      <c r="F42" s="12"/>
      <c r="G42" s="12"/>
      <c r="H42" s="12"/>
      <c r="I42" s="13"/>
      <c r="J42" s="14"/>
      <c r="K42" s="16"/>
      <c r="L42" s="10"/>
      <c r="M42" s="11"/>
      <c r="N42" s="12"/>
      <c r="O42" s="12"/>
      <c r="P42" s="12"/>
      <c r="Q42" s="13"/>
      <c r="R42" s="14"/>
      <c r="S42" s="16"/>
      <c r="T42" s="10"/>
      <c r="U42" s="11"/>
      <c r="V42" s="12"/>
      <c r="W42" s="12"/>
      <c r="X42" s="12"/>
      <c r="Y42" s="13"/>
      <c r="Z42" s="14"/>
      <c r="AA42" s="16"/>
      <c r="AB42" s="10"/>
      <c r="AC42" s="11"/>
      <c r="AD42" s="12"/>
      <c r="AE42" s="12"/>
      <c r="AF42" s="12"/>
      <c r="AG42" s="13"/>
      <c r="AH42" s="14"/>
      <c r="AI42" s="37"/>
    </row>
    <row r="43" spans="1:35" ht="15">
      <c r="A43" s="36"/>
      <c r="B43" s="8"/>
      <c r="C43" s="9"/>
      <c r="D43" s="10"/>
      <c r="E43" s="11"/>
      <c r="F43" s="12"/>
      <c r="G43" s="12"/>
      <c r="H43" s="12"/>
      <c r="I43" s="13"/>
      <c r="J43" s="14"/>
      <c r="K43" s="16"/>
      <c r="L43" s="10"/>
      <c r="M43" s="11"/>
      <c r="N43" s="12"/>
      <c r="O43" s="12"/>
      <c r="P43" s="12"/>
      <c r="Q43" s="13"/>
      <c r="R43" s="14"/>
      <c r="S43" s="16"/>
      <c r="T43" s="10"/>
      <c r="U43" s="11"/>
      <c r="V43" s="12"/>
      <c r="W43" s="12"/>
      <c r="X43" s="12"/>
      <c r="Y43" s="13"/>
      <c r="Z43" s="14"/>
      <c r="AA43" s="16"/>
      <c r="AB43" s="10"/>
      <c r="AC43" s="11"/>
      <c r="AD43" s="12"/>
      <c r="AE43" s="12"/>
      <c r="AF43" s="12"/>
      <c r="AG43" s="13"/>
      <c r="AH43" s="14"/>
      <c r="AI43" s="37"/>
    </row>
    <row r="44" spans="1:35" ht="15">
      <c r="A44" s="36"/>
      <c r="B44" s="8"/>
      <c r="C44" s="9"/>
      <c r="D44" s="10"/>
      <c r="E44" s="11"/>
      <c r="F44" s="12"/>
      <c r="G44" s="12"/>
      <c r="H44" s="12"/>
      <c r="I44" s="13"/>
      <c r="J44" s="14"/>
      <c r="K44" s="16"/>
      <c r="L44" s="10"/>
      <c r="M44" s="11"/>
      <c r="N44" s="12"/>
      <c r="O44" s="12"/>
      <c r="P44" s="12"/>
      <c r="Q44" s="13"/>
      <c r="R44" s="14"/>
      <c r="S44" s="16"/>
      <c r="T44" s="10"/>
      <c r="U44" s="11"/>
      <c r="V44" s="12"/>
      <c r="W44" s="12"/>
      <c r="X44" s="12"/>
      <c r="Y44" s="13"/>
      <c r="Z44" s="14"/>
      <c r="AA44" s="16"/>
      <c r="AB44" s="10"/>
      <c r="AC44" s="11"/>
      <c r="AD44" s="12"/>
      <c r="AE44" s="12"/>
      <c r="AF44" s="12"/>
      <c r="AG44" s="13"/>
      <c r="AH44" s="14"/>
      <c r="AI44" s="37"/>
    </row>
    <row r="45" spans="1:35" ht="15">
      <c r="A45" s="36"/>
      <c r="B45" s="8"/>
      <c r="C45" s="9"/>
      <c r="D45" s="10"/>
      <c r="E45" s="11"/>
      <c r="F45" s="12"/>
      <c r="G45" s="12"/>
      <c r="H45" s="12"/>
      <c r="I45" s="13"/>
      <c r="J45" s="14"/>
      <c r="K45" s="16"/>
      <c r="L45" s="10"/>
      <c r="M45" s="11"/>
      <c r="N45" s="12"/>
      <c r="O45" s="12"/>
      <c r="P45" s="12"/>
      <c r="Q45" s="13"/>
      <c r="R45" s="14"/>
      <c r="S45" s="16"/>
      <c r="T45" s="10"/>
      <c r="U45" s="11"/>
      <c r="V45" s="12"/>
      <c r="W45" s="12"/>
      <c r="X45" s="12"/>
      <c r="Y45" s="13"/>
      <c r="Z45" s="14"/>
      <c r="AA45" s="16"/>
      <c r="AB45" s="10"/>
      <c r="AC45" s="11"/>
      <c r="AD45" s="12"/>
      <c r="AE45" s="12"/>
      <c r="AF45" s="12"/>
      <c r="AG45" s="13"/>
      <c r="AH45" s="14"/>
      <c r="AI45" s="37"/>
    </row>
    <row r="46" spans="1:35" ht="15">
      <c r="A46" s="36"/>
      <c r="B46" s="8"/>
      <c r="C46" s="9"/>
      <c r="D46" s="10"/>
      <c r="E46" s="11"/>
      <c r="F46" s="12"/>
      <c r="G46" s="12"/>
      <c r="H46" s="12"/>
      <c r="I46" s="13"/>
      <c r="J46" s="14"/>
      <c r="K46" s="16"/>
      <c r="L46" s="10"/>
      <c r="M46" s="11"/>
      <c r="N46" s="12"/>
      <c r="O46" s="12"/>
      <c r="P46" s="12"/>
      <c r="Q46" s="13"/>
      <c r="R46" s="14"/>
      <c r="S46" s="16"/>
      <c r="T46" s="10"/>
      <c r="U46" s="11"/>
      <c r="V46" s="12"/>
      <c r="W46" s="12"/>
      <c r="X46" s="12"/>
      <c r="Y46" s="13"/>
      <c r="Z46" s="14"/>
      <c r="AA46" s="16"/>
      <c r="AB46" s="10"/>
      <c r="AC46" s="11"/>
      <c r="AD46" s="12"/>
      <c r="AE46" s="12"/>
      <c r="AF46" s="12"/>
      <c r="AG46" s="13"/>
      <c r="AH46" s="14"/>
      <c r="AI46" s="37"/>
    </row>
    <row r="47" spans="1:35" ht="15">
      <c r="A47" s="36"/>
      <c r="B47" s="8"/>
      <c r="C47" s="9"/>
      <c r="D47" s="10"/>
      <c r="E47" s="11"/>
      <c r="F47" s="12"/>
      <c r="G47" s="12"/>
      <c r="H47" s="12"/>
      <c r="I47" s="13"/>
      <c r="J47" s="14"/>
      <c r="K47" s="16"/>
      <c r="L47" s="10"/>
      <c r="M47" s="11"/>
      <c r="N47" s="12"/>
      <c r="O47" s="12"/>
      <c r="P47" s="12"/>
      <c r="Q47" s="13"/>
      <c r="R47" s="14"/>
      <c r="S47" s="16"/>
      <c r="T47" s="10"/>
      <c r="U47" s="11"/>
      <c r="V47" s="12"/>
      <c r="W47" s="12"/>
      <c r="X47" s="12"/>
      <c r="Y47" s="13"/>
      <c r="Z47" s="14"/>
      <c r="AA47" s="16"/>
      <c r="AB47" s="10"/>
      <c r="AC47" s="11"/>
      <c r="AD47" s="12"/>
      <c r="AE47" s="12"/>
      <c r="AF47" s="12"/>
      <c r="AG47" s="13"/>
      <c r="AH47" s="14"/>
      <c r="AI47" s="37"/>
    </row>
    <row r="48" spans="1:35" ht="15">
      <c r="A48" s="36"/>
      <c r="B48" s="8"/>
      <c r="C48" s="9"/>
      <c r="D48" s="10"/>
      <c r="E48" s="11"/>
      <c r="F48" s="12"/>
      <c r="G48" s="12"/>
      <c r="H48" s="12"/>
      <c r="I48" s="13"/>
      <c r="J48" s="14"/>
      <c r="K48" s="16"/>
      <c r="L48" s="10"/>
      <c r="M48" s="11"/>
      <c r="N48" s="12"/>
      <c r="O48" s="12"/>
      <c r="P48" s="12"/>
      <c r="Q48" s="13"/>
      <c r="R48" s="14"/>
      <c r="S48" s="16"/>
      <c r="T48" s="10"/>
      <c r="U48" s="11"/>
      <c r="V48" s="12"/>
      <c r="W48" s="12"/>
      <c r="X48" s="12"/>
      <c r="Y48" s="13"/>
      <c r="Z48" s="14"/>
      <c r="AA48" s="16"/>
      <c r="AB48" s="10"/>
      <c r="AC48" s="11"/>
      <c r="AD48" s="12"/>
      <c r="AE48" s="12"/>
      <c r="AF48" s="12"/>
      <c r="AG48" s="13"/>
      <c r="AH48" s="14"/>
      <c r="AI48" s="37"/>
    </row>
    <row r="49" spans="1:35" ht="15">
      <c r="A49" s="36"/>
      <c r="B49" s="8"/>
      <c r="C49" s="9"/>
      <c r="D49" s="10"/>
      <c r="E49" s="11"/>
      <c r="F49" s="12"/>
      <c r="G49" s="12"/>
      <c r="H49" s="12"/>
      <c r="I49" s="13"/>
      <c r="J49" s="14"/>
      <c r="K49" s="16"/>
      <c r="L49" s="10"/>
      <c r="M49" s="11"/>
      <c r="N49" s="12"/>
      <c r="O49" s="12"/>
      <c r="P49" s="12"/>
      <c r="Q49" s="13"/>
      <c r="R49" s="14"/>
      <c r="S49" s="16"/>
      <c r="T49" s="10"/>
      <c r="U49" s="11"/>
      <c r="V49" s="12"/>
      <c r="W49" s="12"/>
      <c r="X49" s="12"/>
      <c r="Y49" s="13"/>
      <c r="Z49" s="14"/>
      <c r="AA49" s="16"/>
      <c r="AB49" s="10"/>
      <c r="AC49" s="11"/>
      <c r="AD49" s="12"/>
      <c r="AE49" s="12"/>
      <c r="AF49" s="12"/>
      <c r="AG49" s="13"/>
      <c r="AH49" s="14"/>
      <c r="AI49" s="37"/>
    </row>
    <row r="50" spans="1:35" ht="15">
      <c r="A50" s="36"/>
      <c r="B50" s="8"/>
      <c r="C50" s="9"/>
      <c r="D50" s="10"/>
      <c r="E50" s="11"/>
      <c r="F50" s="12"/>
      <c r="G50" s="12"/>
      <c r="H50" s="12"/>
      <c r="I50" s="13"/>
      <c r="J50" s="14"/>
      <c r="K50" s="16"/>
      <c r="L50" s="10"/>
      <c r="M50" s="11"/>
      <c r="N50" s="12"/>
      <c r="O50" s="12"/>
      <c r="P50" s="12"/>
      <c r="Q50" s="13"/>
      <c r="R50" s="14"/>
      <c r="S50" s="16"/>
      <c r="T50" s="10"/>
      <c r="U50" s="11"/>
      <c r="V50" s="12"/>
      <c r="W50" s="12"/>
      <c r="X50" s="12"/>
      <c r="Y50" s="13"/>
      <c r="Z50" s="14"/>
      <c r="AA50" s="16"/>
      <c r="AB50" s="10"/>
      <c r="AC50" s="11"/>
      <c r="AD50" s="12"/>
      <c r="AE50" s="12"/>
      <c r="AF50" s="12"/>
      <c r="AG50" s="13"/>
      <c r="AH50" s="14"/>
      <c r="AI50" s="37"/>
    </row>
    <row r="51" spans="1:35" ht="15">
      <c r="A51" s="36"/>
      <c r="B51" s="8"/>
      <c r="C51" s="9"/>
      <c r="D51" s="10"/>
      <c r="E51" s="11"/>
      <c r="F51" s="12"/>
      <c r="G51" s="12"/>
      <c r="H51" s="12"/>
      <c r="I51" s="13"/>
      <c r="J51" s="14"/>
      <c r="K51" s="16"/>
      <c r="L51" s="10"/>
      <c r="M51" s="11"/>
      <c r="N51" s="12"/>
      <c r="O51" s="12"/>
      <c r="P51" s="12"/>
      <c r="Q51" s="13"/>
      <c r="R51" s="14"/>
      <c r="S51" s="16"/>
      <c r="T51" s="10"/>
      <c r="U51" s="11"/>
      <c r="V51" s="12"/>
      <c r="W51" s="12"/>
      <c r="X51" s="12"/>
      <c r="Y51" s="13"/>
      <c r="Z51" s="14"/>
      <c r="AA51" s="16"/>
      <c r="AB51" s="10"/>
      <c r="AC51" s="11"/>
      <c r="AD51" s="12"/>
      <c r="AE51" s="12"/>
      <c r="AF51" s="12"/>
      <c r="AG51" s="13"/>
      <c r="AH51" s="14"/>
      <c r="AI51" s="37"/>
    </row>
    <row r="52" spans="1:35" ht="15">
      <c r="A52" s="36"/>
      <c r="B52" s="8"/>
      <c r="C52" s="9"/>
      <c r="D52" s="10"/>
      <c r="E52" s="11"/>
      <c r="F52" s="12"/>
      <c r="G52" s="12"/>
      <c r="H52" s="12"/>
      <c r="I52" s="13"/>
      <c r="J52" s="14"/>
      <c r="K52" s="16"/>
      <c r="L52" s="10"/>
      <c r="M52" s="11"/>
      <c r="N52" s="12"/>
      <c r="O52" s="12"/>
      <c r="P52" s="12"/>
      <c r="Q52" s="13"/>
      <c r="R52" s="14"/>
      <c r="S52" s="16"/>
      <c r="T52" s="10"/>
      <c r="U52" s="11"/>
      <c r="V52" s="12"/>
      <c r="W52" s="12"/>
      <c r="X52" s="12"/>
      <c r="Y52" s="13"/>
      <c r="Z52" s="14"/>
      <c r="AA52" s="16"/>
      <c r="AB52" s="10"/>
      <c r="AC52" s="11"/>
      <c r="AD52" s="12"/>
      <c r="AE52" s="12"/>
      <c r="AF52" s="12"/>
      <c r="AG52" s="13"/>
      <c r="AH52" s="14"/>
      <c r="AI52" s="37"/>
    </row>
    <row r="53" spans="1:35" ht="15">
      <c r="A53" s="36"/>
      <c r="B53" s="8"/>
      <c r="C53" s="9"/>
      <c r="D53" s="10"/>
      <c r="E53" s="11"/>
      <c r="F53" s="12"/>
      <c r="G53" s="12"/>
      <c r="H53" s="12"/>
      <c r="I53" s="13"/>
      <c r="J53" s="14"/>
      <c r="K53" s="16"/>
      <c r="L53" s="10"/>
      <c r="M53" s="11"/>
      <c r="N53" s="12"/>
      <c r="O53" s="12"/>
      <c r="P53" s="12"/>
      <c r="Q53" s="13"/>
      <c r="R53" s="14"/>
      <c r="S53" s="16"/>
      <c r="T53" s="10"/>
      <c r="U53" s="11"/>
      <c r="V53" s="12"/>
      <c r="W53" s="12"/>
      <c r="X53" s="12"/>
      <c r="Y53" s="13"/>
      <c r="Z53" s="14"/>
      <c r="AA53" s="16"/>
      <c r="AB53" s="10"/>
      <c r="AC53" s="11"/>
      <c r="AD53" s="12"/>
      <c r="AE53" s="12"/>
      <c r="AF53" s="12"/>
      <c r="AG53" s="13"/>
      <c r="AH53" s="14"/>
      <c r="AI53" s="37"/>
    </row>
    <row r="54" spans="1:35" ht="15">
      <c r="A54" s="36"/>
      <c r="B54" s="8"/>
      <c r="C54" s="9"/>
      <c r="D54" s="10"/>
      <c r="E54" s="11"/>
      <c r="F54" s="12"/>
      <c r="G54" s="12"/>
      <c r="H54" s="12"/>
      <c r="I54" s="13"/>
      <c r="J54" s="14"/>
      <c r="K54" s="16"/>
      <c r="L54" s="10"/>
      <c r="M54" s="11"/>
      <c r="N54" s="12"/>
      <c r="O54" s="12"/>
      <c r="P54" s="12"/>
      <c r="Q54" s="13"/>
      <c r="R54" s="14"/>
      <c r="S54" s="16"/>
      <c r="T54" s="10"/>
      <c r="U54" s="11"/>
      <c r="V54" s="12"/>
      <c r="W54" s="12"/>
      <c r="X54" s="12"/>
      <c r="Y54" s="13"/>
      <c r="Z54" s="14"/>
      <c r="AA54" s="16"/>
      <c r="AB54" s="10"/>
      <c r="AC54" s="11"/>
      <c r="AD54" s="12"/>
      <c r="AE54" s="12"/>
      <c r="AF54" s="12"/>
      <c r="AG54" s="13"/>
      <c r="AH54" s="14"/>
      <c r="AI54" s="37"/>
    </row>
    <row r="55" spans="1:35" ht="15.75" thickBot="1">
      <c r="A55" s="39"/>
      <c r="B55" s="40"/>
      <c r="C55" s="41"/>
      <c r="D55" s="42"/>
      <c r="E55" s="43"/>
      <c r="F55" s="44"/>
      <c r="G55" s="44"/>
      <c r="H55" s="44"/>
      <c r="I55" s="45"/>
      <c r="J55" s="44"/>
      <c r="K55" s="46"/>
      <c r="L55" s="42"/>
      <c r="M55" s="43"/>
      <c r="N55" s="44"/>
      <c r="O55" s="44"/>
      <c r="P55" s="44"/>
      <c r="Q55" s="45"/>
      <c r="R55" s="44"/>
      <c r="S55" s="46"/>
      <c r="T55" s="42"/>
      <c r="U55" s="43"/>
      <c r="V55" s="44"/>
      <c r="W55" s="44"/>
      <c r="X55" s="44"/>
      <c r="Y55" s="45"/>
      <c r="Z55" s="44"/>
      <c r="AA55" s="46"/>
      <c r="AB55" s="42"/>
      <c r="AC55" s="43"/>
      <c r="AD55" s="44"/>
      <c r="AE55" s="44"/>
      <c r="AF55" s="44"/>
      <c r="AG55" s="45"/>
      <c r="AH55" s="44"/>
      <c r="AI55" s="47"/>
    </row>
    <row r="57" spans="1:35" ht="12.75">
      <c r="A57" s="81" t="s">
        <v>21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</row>
    <row r="58" spans="1:35" ht="12.75">
      <c r="A58" s="80" t="s">
        <v>10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1:35" ht="12.75">
      <c r="A59" s="80" t="s">
        <v>11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5" ht="12.75" customHeight="1">
      <c r="A60" s="82" t="s">
        <v>12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</row>
    <row r="61" spans="1:35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</row>
    <row r="62" spans="1:35" ht="12.75" customHeight="1">
      <c r="A62" s="82" t="s">
        <v>13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</row>
    <row r="63" spans="1:35" ht="12.75" customHeight="1">
      <c r="A63" s="82" t="s">
        <v>14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</row>
    <row r="64" spans="1:35" ht="12.75">
      <c r="A64" s="80" t="s">
        <v>15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</row>
    <row r="65" spans="1:35" ht="12.75">
      <c r="A65" s="80" t="s">
        <v>16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</row>
    <row r="66" spans="1:35" ht="12.75">
      <c r="A66" s="80" t="s">
        <v>17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1:35" ht="12.75">
      <c r="A67" s="80" t="s">
        <v>18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</sheetData>
  <sheetProtection/>
  <mergeCells count="21">
    <mergeCell ref="C4:C6"/>
    <mergeCell ref="T5:AA5"/>
    <mergeCell ref="L4:S4"/>
    <mergeCell ref="L5:S5"/>
    <mergeCell ref="AB4:AI4"/>
    <mergeCell ref="AB5:AI5"/>
    <mergeCell ref="B4:B6"/>
    <mergeCell ref="A63:AI63"/>
    <mergeCell ref="T4:AA4"/>
    <mergeCell ref="A64:AI64"/>
    <mergeCell ref="D4:K4"/>
    <mergeCell ref="A62:AI62"/>
    <mergeCell ref="D5:K5"/>
    <mergeCell ref="A4:A6"/>
    <mergeCell ref="A67:AI67"/>
    <mergeCell ref="A57:AI57"/>
    <mergeCell ref="A58:AI58"/>
    <mergeCell ref="A59:AI59"/>
    <mergeCell ref="A60:AI61"/>
    <mergeCell ref="A66:AI66"/>
    <mergeCell ref="A65:AI6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Некрасов Андрей  Викторович</dc:creator>
  <cp:keywords/>
  <dc:description/>
  <cp:lastModifiedBy>DEXP</cp:lastModifiedBy>
  <cp:lastPrinted>2020-06-08T07:36:21Z</cp:lastPrinted>
  <dcterms:created xsi:type="dcterms:W3CDTF">1996-10-08T23:32:33Z</dcterms:created>
  <dcterms:modified xsi:type="dcterms:W3CDTF">2023-01-10T07:36:36Z</dcterms:modified>
  <cp:category/>
  <cp:version/>
  <cp:contentType/>
  <cp:contentStatus/>
</cp:coreProperties>
</file>