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20" yWindow="1305" windowWidth="17505" windowHeight="12300" tabRatio="918" activeTab="16"/>
  </bookViews>
  <sheets>
    <sheet name="Содержание" sheetId="1" r:id="rId1"/>
    <sheet name="Форма.1.1" sheetId="2" r:id="rId2"/>
    <sheet name="Форма.1.2" sheetId="3" r:id="rId3"/>
    <sheet name="Форма.1.3" sheetId="4" r:id="rId4"/>
    <sheet name="Форма.2.1" sheetId="5" r:id="rId5"/>
    <sheet name="Форма.2.2" sheetId="6" r:id="rId6"/>
    <sheet name="Форма.2.3" sheetId="7" r:id="rId7"/>
    <sheet name="Форма.2.4" sheetId="8" r:id="rId8"/>
    <sheet name="Форма.3.1" sheetId="9" r:id="rId9"/>
    <sheet name="Форма.3.2" sheetId="10" r:id="rId10"/>
    <sheet name="Форма.3.3" sheetId="11" r:id="rId11"/>
    <sheet name="Форма.4.1" sheetId="12" r:id="rId12"/>
    <sheet name="Форма.4.2" sheetId="13" r:id="rId13"/>
    <sheet name="Форма.8.1" sheetId="14" r:id="rId14"/>
    <sheet name="Форма 8.3." sheetId="15" r:id="rId15"/>
    <sheet name="Факт_План" sheetId="16" r:id="rId16"/>
    <sheet name="Пояснительная записка" sheetId="17" r:id="rId17"/>
  </sheets>
  <externalReferences>
    <externalReference r:id="rId20"/>
  </externalReferences>
  <definedNames>
    <definedName name="OLE_LINK1" localSheetId="16">'Пояснительная записка'!$J$8</definedName>
    <definedName name="OLE_LINK17" localSheetId="16">'Пояснительная записка'!$M$146</definedName>
    <definedName name="_xlnm.Print_Titles" localSheetId="4">'Форма.2.1'!$5:$7</definedName>
    <definedName name="_xlnm.Print_Titles" localSheetId="5">'Форма.2.2'!$5:$7</definedName>
    <definedName name="_xlnm.Print_Titles" localSheetId="6">'Форма.2.3'!$5:$7</definedName>
    <definedName name="_xlnm.Print_Titles" localSheetId="7">'Форма.2.4'!$B:$B</definedName>
    <definedName name="_xlnm.Print_Area" localSheetId="16">'Пояснительная записка'!$A$1:$L$176</definedName>
    <definedName name="_xlnm.Print_Area" localSheetId="0">'Содержание'!$A$1:$J$27</definedName>
    <definedName name="_xlnm.Print_Area" localSheetId="15">'Факт_План'!$A$1:$I$17</definedName>
    <definedName name="_xlnm.Print_Area" localSheetId="1">'Форма.1.1'!$A$1:$F$96</definedName>
    <definedName name="_xlnm.Print_Area" localSheetId="2">'Форма.1.2'!$A$1:$O$13</definedName>
    <definedName name="_xlnm.Print_Area" localSheetId="3">'Форма.1.3'!$A$1:$K$22</definedName>
    <definedName name="_xlnm.Print_Area" localSheetId="4">'Форма.2.1'!$A$1:$Q$32</definedName>
    <definedName name="_xlnm.Print_Area" localSheetId="5">'Форма.2.2'!$A$1:$Q$27</definedName>
    <definedName name="_xlnm.Print_Area" localSheetId="6">'Форма.2.3'!$A$1:$Q$36</definedName>
    <definedName name="_xlnm.Print_Area" localSheetId="7">'Форма.2.4'!$B$1:$AJ$62</definedName>
    <definedName name="_xlnm.Print_Area" localSheetId="8">'Форма.3.1'!$A$1:$E$14</definedName>
    <definedName name="_xlnm.Print_Area" localSheetId="9">'Форма.3.2'!$A$1:$E$14</definedName>
    <definedName name="_xlnm.Print_Area" localSheetId="10">'Форма.3.3'!$A$1:$E$19</definedName>
    <definedName name="_xlnm.Print_Area" localSheetId="11">'Форма.4.1'!$A$1:$F$22</definedName>
    <definedName name="_xlnm.Print_Area" localSheetId="12">'Форма.4.2'!$A$1:$E$19</definedName>
  </definedNames>
  <calcPr fullCalcOnLoad="1"/>
</workbook>
</file>

<file path=xl/sharedStrings.xml><?xml version="1.0" encoding="utf-8"?>
<sst xmlns="http://schemas.openxmlformats.org/spreadsheetml/2006/main" count="1114" uniqueCount="618">
  <si>
    <t>Форма 2.3</t>
  </si>
  <si>
    <t>Форма 4.2 - Расчет обобщенного показателя уровня надежности и качества оказываемых услуг</t>
  </si>
  <si>
    <t>Наименование</t>
  </si>
  <si>
    <t>№ формулы Методических указаний</t>
  </si>
  <si>
    <t>Значение</t>
  </si>
  <si>
    <t>-</t>
  </si>
  <si>
    <t>2. коэффициент значимости показателя уровня качества оказываемых услуг, β</t>
  </si>
  <si>
    <t>п. 5.1.</t>
  </si>
  <si>
    <t>(должность)</t>
  </si>
  <si>
    <t>(подпись)</t>
  </si>
  <si>
    <t>№</t>
  </si>
  <si>
    <t>Наименование показателя</t>
  </si>
  <si>
    <t>(1)</t>
  </si>
  <si>
    <t xml:space="preserve">п. 5.1 Методических указаний   </t>
  </si>
  <si>
    <t>качества, на каждый расчетный период регулирования в пределах долгосрочного периода регулирования *</t>
  </si>
  <si>
    <t>(наименование территориальной сетевой организации)</t>
  </si>
  <si>
    <t>Предлагаемые плановые значения параметров (критериев), характеризующих индикаторы качества **</t>
  </si>
  <si>
    <t>(год)</t>
  </si>
  <si>
    <t>_____*_Количество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</si>
  <si>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____**_Нумерация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</si>
  <si>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(Ф.И.О.)</t>
  </si>
  <si>
    <t>электросетевой организации</t>
  </si>
  <si>
    <t>Форма 4.1 - Показатели уровня надежности и уровня качества оказываемых услуг</t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</si>
  <si>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</si>
  <si>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</si>
  <si>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прямая</t>
  </si>
  <si>
    <t>2. Степень удовлетворения обращений потребителей услуг</t>
  </si>
  <si>
    <t>обратная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</si>
  <si>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</si>
  <si>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</si>
  <si>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</si>
  <si>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</si>
  <si>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</si>
  <si>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</si>
  <si>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</si>
  <si>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Приложение №1</t>
  </si>
  <si>
    <t>Формы отчетности для расчета показателей уровня надёжности и качества оказываемых услуг</t>
  </si>
  <si>
    <t>(наименование электросетевой организации)</t>
  </si>
  <si>
    <t xml:space="preserve">Наименование </t>
  </si>
  <si>
    <t>Форма 1.1</t>
  </si>
  <si>
    <t>Форма 1.2</t>
  </si>
  <si>
    <t>Форма 1.3</t>
  </si>
  <si>
    <t>Форма 2.1</t>
  </si>
  <si>
    <t>Форма 2.2</t>
  </si>
  <si>
    <t>Форма 2.4</t>
  </si>
  <si>
    <t>Форма 4.1</t>
  </si>
  <si>
    <t>Показатели уровня надежности и уровня качества оказываемых услуг электросетевой организации</t>
  </si>
  <si>
    <t>Форма 4.2</t>
  </si>
  <si>
    <t>Расчет обобщенного показателя уровня надежности и качества оказываемых услуг</t>
  </si>
  <si>
    <t>________________</t>
  </si>
  <si>
    <t>___________</t>
  </si>
  <si>
    <t>Обосновывающие данные для расчета *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</si>
  <si>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</si>
  <si>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</si>
  <si>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____________________</t>
  </si>
  <si>
    <t>* В том числе на основе базы актов расследования технологических нарушений за соответствующий месяц.</t>
  </si>
  <si>
    <t>Суммарная продолжительность прекращений передачи электрической энергии, час. (Тпр)</t>
  </si>
  <si>
    <t>Наименование
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</si>
  <si>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</si>
  <si>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</si>
  <si>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</si>
  <si>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</t>
    </r>
  </si>
  <si>
    <t>с указанием года отчетного расчетного периода регулирования.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</si>
  <si>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</si>
  <si>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</si>
  <si>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</si>
  <si>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</si>
  <si>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</si>
  <si>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</si>
  <si>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</si>
  <si>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</si>
  <si>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Зависи
мость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</si>
  <si>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</si>
  <si>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________</t>
  </si>
  <si>
    <t xml:space="preserve">     </t>
  </si>
  <si>
    <t>Форма 2.1 - Расчет значения индикатора информативности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</si>
  <si>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</si>
  <si>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</si>
  <si>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</si>
  <si>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</si>
  <si>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2.2 - Расчет значения индикатора исполнительности</t>
  </si>
  <si>
    <t>Наименование параметра (критерия),
 характеризующего индикатор</t>
  </si>
  <si>
    <t xml:space="preserve"> обратная   </t>
  </si>
  <si>
    <t xml:space="preserve"> прямая   </t>
  </si>
  <si>
    <t xml:space="preserve">Предложения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</si>
  <si>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Предложения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</t>
  </si>
  <si>
    <t xml:space="preserve"> (голосовая, СМС и другим способом).</t>
  </si>
  <si>
    <t>_____*_Расчет производится при наличии в территориальной сетевой организации Системы автоинформирования</t>
  </si>
  <si>
    <t>_____________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</si>
  <si>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
(наличие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</si>
  <si>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</si>
  <si>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</si>
  <si>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</si>
  <si>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</si>
  <si>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</si>
  <si>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</si>
  <si>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</si>
  <si>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</si>
  <si>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</si>
  <si>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Форма 3.1</t>
  </si>
  <si>
    <t>1. коэффициент значимости 
показателя уровня надежности
 оказываемых услуг, α</t>
  </si>
  <si>
    <t>№ формулы Методических
 указаний</t>
  </si>
  <si>
    <t xml:space="preserve">Форма 2.4 - Предложения по плановым значениям параметров (критериев), характеризующих индикаторы </t>
  </si>
  <si>
    <t xml:space="preserve">--   </t>
  </si>
  <si>
    <t xml:space="preserve"> - - 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</si>
  <si>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</si>
  <si>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</si>
  <si>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*</t>
    </r>
  </si>
  <si>
    <t>Всего</t>
  </si>
  <si>
    <t>Ф / П 
* 100,
 (%)</t>
  </si>
  <si>
    <t xml:space="preserve">Оцено
чный
 балл </t>
  </si>
  <si>
    <t>Фактиче
ское (Ф)</t>
  </si>
  <si>
    <t>2.1. Наличие единого телефонного номера для приема обращений потребителей услуг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</si>
  <si>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 (проведение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</si>
  <si>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</si>
  <si>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2.1.</t>
  </si>
  <si>
    <t>2.2.</t>
  </si>
  <si>
    <t>2.3.</t>
  </si>
  <si>
    <t>2.4.</t>
  </si>
  <si>
    <t>Плано
вое (П)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</si>
  <si>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</si>
  <si>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Лист</t>
  </si>
  <si>
    <r>
      <t>7. Итого по индикатору информативности, (И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)</t>
    </r>
  </si>
  <si>
    <r>
      <t>6. Итого по индикатору результативности обратной связи, (Р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</t>
    </r>
  </si>
  <si>
    <t>2. Соблюдение сроков по процедурам взаимодействия с …….</t>
  </si>
  <si>
    <t>2.1. Среднее время, затраченное территориальной сетевой …….</t>
  </si>
  <si>
    <t>2.2. Среднее время, необходимое для оборудования точки …….</t>
  </si>
  <si>
    <t>а) для физических лиц, включая индивидуальных предпринимателей,…..</t>
  </si>
  <si>
    <t>2.3. Количество случаев отказа от заключения и случаев расторжения ….</t>
  </si>
  <si>
    <t>5. Соблюдение требований нормативных правовых актов РФ …</t>
  </si>
  <si>
    <t>5.1. Количество обращений потребителей услуг с указанием на ……</t>
  </si>
  <si>
    <t>6. Наличие взаимодействия с потребителями услуг при выводе оборудования ….</t>
  </si>
  <si>
    <t>6.1. Наличие (отсутствие) установленной процедуры согласования с ….</t>
  </si>
  <si>
    <t>6.2. Количество обращений потребителей услуг с указанием на несогласие …</t>
  </si>
  <si>
    <t>7. Соблюдение требований нормативных правовых актов по защите …..</t>
  </si>
  <si>
    <t>7.1. Количество обращений потребителей услуг (заявителей) ….</t>
  </si>
  <si>
    <t>1. Возможность личного приема заявителей и потребителей услуг …..</t>
  </si>
  <si>
    <t>1.1. Количество структурных подразделений по работе с заявителями и …..</t>
  </si>
  <si>
    <t>1.2. Количество утвержденных территориальной сетевой организацией в …..</t>
  </si>
  <si>
    <t>а) регламенты оказания услуг и рассмотрения обращений заявителей и ….</t>
  </si>
  <si>
    <t>б) наличие положения о деятельности структурного подразделения по ….</t>
  </si>
  <si>
    <t>в) должностные инструкции сотрудников, обслуживающих заявителей и ….</t>
  </si>
  <si>
    <t>г) утвержденные территориальной сетевой организацией в установленном …..</t>
  </si>
  <si>
    <t>2. Наличие телефонной связи для обращений потребителей услуг к ….</t>
  </si>
  <si>
    <t>2.1. Наличие единого телефонного номера для приема обращений ….</t>
  </si>
  <si>
    <t>2.2. Наличие информационно-справочной системы для автоматизации ….</t>
  </si>
  <si>
    <t>2.3. Наличие системы автоинформирования потребителей услуг по …..</t>
  </si>
  <si>
    <t>3. Наличие в сети Интернет сайта территориальной сетевой организации ….</t>
  </si>
  <si>
    <t>4. Проведение мероприятий по доведению до сведения потребителей услуг ….</t>
  </si>
  <si>
    <t>5. Простота и доступность схемы обжалования потребителями услуг ….</t>
  </si>
  <si>
    <t>5.1. Общее количество обращений потребителей услуг о проведении ….</t>
  </si>
  <si>
    <t>6. Степень полноты, актуальности и достоверности предоставляемой ….</t>
  </si>
  <si>
    <t>6.1. Общее количество обращений потребителей услуг о проведении ….</t>
  </si>
  <si>
    <t>6.2. Количество обращений потребителей услуг с указанием на отсутствие ….</t>
  </si>
  <si>
    <t>1. Наличие структурного подразделения территориальной сетевой организации по …..</t>
  </si>
  <si>
    <t>2.1. Общее количество обращений потребителей услуг с указанием на ненадлежащее ….</t>
  </si>
  <si>
    <t>2.2. Количество принятых мер по результатам рассмотрения обращений потребителей ….</t>
  </si>
  <si>
    <t>2.3. Количество обращений,  связанных с неудовлетворенностью принятыми мерами, ….</t>
  </si>
  <si>
    <t xml:space="preserve">2.4. Количество обращений потребителей услуг с указанием на ненадлежащее качество </t>
  </si>
  <si>
    <t>2.5. Количество отзывов и  предложений по вопросам деятельности территориальной ….</t>
  </si>
  <si>
    <t>2.6. Количество реализованных изменений в деятельности организации, направленных ….</t>
  </si>
  <si>
    <t>3.1. Средняя продолжительность времени принятия мер по результатам обращения ….</t>
  </si>
  <si>
    <t>в)* системы автоинформирования, шт. на 1000 потребителей услуг</t>
  </si>
  <si>
    <t>4.1. Количество обращений потребителей услуг льготных категорий с указанием на …</t>
  </si>
  <si>
    <t>5.1. Средняя продолжительность времени на принятие территориальной сетевой …</t>
  </si>
  <si>
    <t>5.2. Доля потребителей услуг, получивших возмещение убытков, возникших в …..</t>
  </si>
  <si>
    <t>Усредненное Фактическое</t>
  </si>
  <si>
    <t>Максимальное за расчетный период число точек присоединения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</si>
  <si>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</si>
  <si>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Наименование параметра (критерия), характеризующего индикатор</t>
  </si>
  <si>
    <r>
      <t>7. Итого по, (И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) Форма 2.1 - Расчет знач.индикатору информативности</t>
    </r>
  </si>
  <si>
    <r>
      <t>8. Итого по, (И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), Форма 2.2 - Расчет знач.индикат.исполнительности</t>
    </r>
  </si>
  <si>
    <t>3.2. Взаимодействие территориальной сетевой организации с потребителями услуг с ….</t>
  </si>
  <si>
    <t>5. Оперативность возмещения убытков потребителям услуг при несоблюдении ….</t>
  </si>
  <si>
    <t>2.</t>
  </si>
  <si>
    <t>5.</t>
  </si>
  <si>
    <t>6.</t>
  </si>
  <si>
    <t>1.</t>
  </si>
  <si>
    <t>3.</t>
  </si>
  <si>
    <t>4.</t>
  </si>
  <si>
    <t>7.</t>
  </si>
  <si>
    <r>
      <t>Показатель качества предоставления возможности технологического присоединения 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</si>
  <si>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Усредненное
Фактическое</t>
  </si>
  <si>
    <t>Журнал учета текущей информации о прекращении передачи электрической энергии для потребителей услуг электросетевой организации</t>
  </si>
  <si>
    <t>Расчет показателя средней продолжительности прекращений передачи электрической энергии</t>
  </si>
  <si>
    <t>Расчет значения индикатора информативности</t>
  </si>
  <si>
    <t>Расчет значения индикатора исполнительности</t>
  </si>
  <si>
    <t>Расчет значения индикатора результативности обратной связи</t>
  </si>
  <si>
    <r>
      <t>Плановое значение показателя
 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П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</si>
  <si>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ТПР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</si>
  <si>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ТСО</t>
    </r>
  </si>
  <si>
    <r>
      <t>Оценка достижения показателя уровня надежности оказываемых услуг,
 К</t>
    </r>
    <r>
      <rPr>
        <vertAlign val="subscript"/>
        <sz val="12"/>
        <rFont val="Times New Roman"/>
        <family val="1"/>
      </rPr>
      <t>НАД</t>
    </r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</si>
  <si>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
</t>
    </r>
    <r>
      <rPr>
        <sz val="12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</si>
  <si>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Х</t>
  </si>
  <si>
    <t xml:space="preserve">(должность)           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</si>
  <si>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</si>
  <si>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территориальных сетевых организаций (Птсо)</t>
  </si>
  <si>
    <t>*Нумерация согласно Методическим указаниям</t>
  </si>
  <si>
    <t>за</t>
  </si>
  <si>
    <t>факт</t>
  </si>
  <si>
    <t>Фактическое (П)</t>
  </si>
  <si>
    <t>2012г. Факт от
 плана 2013 г.</t>
  </si>
  <si>
    <t>план</t>
  </si>
  <si>
    <t>При условии пересчета</t>
  </si>
  <si>
    <t>(должность)                                                                   (подпись)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</si>
  <si>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</si>
  <si>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</si>
  <si>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Число, шт.</t>
  </si>
  <si>
    <t>Форма 1.2 - Расчет показателя средней продолжительности прекращений передачи электрической энергии</t>
  </si>
  <si>
    <t>Форма 1.3 - Предложения электросетевой организации по плановым значениям  показателей надежности и качества услуг на каждый расчетный период регулирования в пределах долгосрочного периода регулирования (*)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</si>
  <si>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</si>
  <si>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</si>
  <si>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</si>
  <si>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</si>
  <si>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</si>
  <si>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</si>
  <si>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</si>
  <si>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</si>
  <si>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</si>
  <si>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</si>
  <si>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</si>
  <si>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r>
      <t>5. Итого по индикатору исполнительности, (И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</t>
    </r>
  </si>
  <si>
    <t>(2.1)</t>
  </si>
  <si>
    <t>(3.2)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</si>
  <si>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</si>
  <si>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</si>
  <si>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t>8.</t>
  </si>
  <si>
    <t>9.</t>
  </si>
  <si>
    <t>10.</t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</si>
  <si>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КАЧ1
</t>
    </r>
    <r>
      <rPr>
        <sz val="12"/>
        <rFont val="Times New Roman"/>
        <family val="1"/>
      </rPr>
      <t xml:space="preserve"> (территориальной сетевой организации)</t>
    </r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</si>
  <si>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КАЧ2
</t>
    </r>
    <r>
      <rPr>
        <sz val="12"/>
        <rFont val="Times New Roman"/>
        <family val="1"/>
      </rPr>
      <t xml:space="preserve"> (территориальной сетевой организации)</t>
    </r>
  </si>
  <si>
    <t>Для организации по управлению единой национальной (общероссийской) электрической сетью: β = 0,25</t>
  </si>
  <si>
    <t>3. коэффициент значимости показателя уровня качества оказываемых услуг, β1</t>
  </si>
  <si>
    <t>Для территориальной сетевой организации: β1 = 0,25</t>
  </si>
  <si>
    <t>4. коэффициент значимости показателя уровня качества оказываемых услуг, β2</t>
  </si>
  <si>
    <t>Для территориальной сетевой организации: β2 = 0,1</t>
  </si>
  <si>
    <t>5. оценка достижения показателя уровня надежности оказываемых услуг, Кнад</t>
  </si>
  <si>
    <r>
      <t>П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 = Т</t>
    </r>
    <r>
      <rPr>
        <b/>
        <vertAlign val="subscript"/>
        <sz val="14"/>
        <rFont val="Times New Roman"/>
        <family val="1"/>
      </rPr>
      <t>ПР</t>
    </r>
    <r>
      <rPr>
        <b/>
        <sz val="14"/>
        <rFont val="Times New Roman"/>
        <family val="1"/>
      </rPr>
      <t xml:space="preserve"> / N</t>
    </r>
    <r>
      <rPr>
        <b/>
        <vertAlign val="subscript"/>
        <sz val="14"/>
        <rFont val="Times New Roman"/>
        <family val="1"/>
      </rPr>
      <t>ТП</t>
    </r>
    <r>
      <rPr>
        <b/>
        <sz val="14"/>
        <rFont val="Times New Roman"/>
        <family val="1"/>
      </rPr>
      <t xml:space="preserve"> ,  (1)*</t>
    </r>
  </si>
  <si>
    <r>
      <t>П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 = </t>
    </r>
  </si>
  <si>
    <r>
      <t>П</t>
    </r>
    <r>
      <rPr>
        <b/>
        <vertAlign val="subscript"/>
        <sz val="14"/>
        <rFont val="Times New Roman"/>
        <family val="1"/>
      </rPr>
      <t>ТПР</t>
    </r>
    <r>
      <rPr>
        <b/>
        <sz val="14"/>
        <rFont val="Times New Roman"/>
        <family val="1"/>
      </rPr>
      <t xml:space="preserve"> = 0.4 * П</t>
    </r>
    <r>
      <rPr>
        <b/>
        <vertAlign val="subscript"/>
        <sz val="14"/>
        <rFont val="Times New Roman"/>
        <family val="1"/>
      </rPr>
      <t>заяв_тпр</t>
    </r>
    <r>
      <rPr>
        <b/>
        <sz val="14"/>
        <rFont val="Times New Roman"/>
        <family val="1"/>
      </rPr>
      <t xml:space="preserve"> + 0.4 * П</t>
    </r>
    <r>
      <rPr>
        <b/>
        <vertAlign val="subscript"/>
        <sz val="14"/>
        <rFont val="Times New Roman"/>
        <family val="1"/>
      </rPr>
      <t>нс_тпр</t>
    </r>
    <r>
      <rPr>
        <b/>
        <sz val="14"/>
        <rFont val="Times New Roman"/>
        <family val="1"/>
      </rPr>
      <t xml:space="preserve"> + 0.2 * П</t>
    </r>
    <r>
      <rPr>
        <b/>
        <vertAlign val="subscript"/>
        <sz val="14"/>
        <rFont val="Times New Roman"/>
        <family val="1"/>
      </rPr>
      <t>нпа_тпр</t>
    </r>
    <r>
      <rPr>
        <b/>
        <sz val="14"/>
        <rFont val="Times New Roman"/>
        <family val="1"/>
      </rPr>
      <t xml:space="preserve"> , (2.1)</t>
    </r>
  </si>
  <si>
    <t>Оценка каждого параметра производится по трехбалльной шкале, при этом:</t>
  </si>
  <si>
    <r>
      <t>П</t>
    </r>
    <r>
      <rPr>
        <b/>
        <vertAlign val="subscript"/>
        <sz val="14"/>
        <rFont val="Times New Roman"/>
        <family val="1"/>
      </rPr>
      <t xml:space="preserve">П   </t>
    </r>
    <r>
      <rPr>
        <b/>
        <sz val="14"/>
        <rFont val="Times New Roman"/>
        <family val="1"/>
      </rPr>
      <t>=</t>
    </r>
  </si>
  <si>
    <t>→</t>
  </si>
  <si>
    <t xml:space="preserve">При расчете планового обобщенного показателя надежности и качества оказываемых услуг </t>
  </si>
  <si>
    <t xml:space="preserve">принимаются плановые показатели надежности и качества достигнутыми, т.е. К над/кач =0. </t>
  </si>
  <si>
    <t>№№п/п</t>
  </si>
  <si>
    <t>В приложении представлены формы используемые для расчета плановых показателей уровня надежности и качества оказываемых услуг в соответствии с Методическими указаниями Министерства энергетики РФ от 29 июня 2010 года № 296 с изменениями от 28 сентября 2012 года (в ред. Приказа Минэнерго России от 28.09.2012г. №465)</t>
  </si>
  <si>
    <t xml:space="preserve">Пояснительная записка 
</t>
  </si>
  <si>
    <t>Расчет произведен на основании требований постановления Правительства РФ от 31.12.2009г. №1220 «Об определении применяемых при установлении долгосрочных тарифов показатели надежности и качества поставляемых товаров и оказываемых услуг» и на основании приказа Минэнерго от 14.10.2013 г. № 718</t>
  </si>
  <si>
    <t>Для целей использования при государственном регулировании тарифов значение показателя уровня надежности оказываемых услуг определяется продолжительностью прекращений передачи электрической энергии.</t>
  </si>
  <si>
    <r>
      <t>Показатель средней продолжительности прекращений передачи электрической энергии в каждом расчетном периоде регулирования в пределах долгосрочного периода регулирования (П</t>
    </r>
    <r>
      <rPr>
        <vertAlign val="subscript"/>
        <sz val="13"/>
        <rFont val="Times New Roman"/>
        <family val="1"/>
      </rPr>
      <t>П</t>
    </r>
    <r>
      <rPr>
        <sz val="13"/>
        <rFont val="Times New Roman"/>
        <family val="1"/>
      </rPr>
      <t xml:space="preserve"> ) определяется по формуле:</t>
    </r>
  </si>
  <si>
    <r>
      <t>где  Т</t>
    </r>
    <r>
      <rPr>
        <vertAlign val="subscript"/>
        <sz val="13"/>
        <rFont val="Times New Roman"/>
        <family val="1"/>
      </rPr>
      <t>ПР</t>
    </r>
    <r>
      <rPr>
        <sz val="13"/>
        <rFont val="Times New Roman"/>
        <family val="1"/>
      </rPr>
      <t xml:space="preserve"> - фактическая суммарная продолжительность всех прекращений передачи элект-
рической энергии в отношении потребителей услуг за расчетный период регулирования, час;</t>
    </r>
  </si>
  <si>
    <r>
      <t>N</t>
    </r>
    <r>
      <rPr>
        <vertAlign val="subscript"/>
        <sz val="13"/>
        <rFont val="Times New Roman"/>
        <family val="1"/>
      </rPr>
      <t>ТП</t>
    </r>
    <r>
      <rPr>
        <sz val="13"/>
        <rFont val="Times New Roman"/>
        <family val="1"/>
      </rPr>
      <t xml:space="preserve">  - максимальное за расчетный период регулирования  число точек присоединения потребителей услуг к электрической сети электросетевой организации, в том числе принятых в опытно-промышленную эксплуатацию, шт.</t>
    </r>
  </si>
  <si>
    <t>Показатели уровня качества оказываемых услуг и порядок расчета их значений</t>
  </si>
  <si>
    <r>
      <t>Показатель уровня качества осуществляемого технологического присоединения к сети
(П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) определяется по формуле: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</si>
  <si>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 - показатель качества рассмотрения заявок на технологическое присоединение к сети, определяемый исходя из рассмотрения заявок на технологическое присоединение к сети, полученных от потребителей и производителей электрической энергии, а также территориальных сетевых организаций (далее - заявители);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</si>
  <si>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 - показатель качества исполнения договоров об осуществлении технологического присоединения заявителей к сети;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</si>
  <si>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 xml:space="preserve">  - показатель соблюдения антимонопольного законодательства при технологическом присоединении заявителей к электрическим сетям сетевой организации.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</si>
  <si>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</si>
  <si>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</si>
  <si>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</si>
  <si>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Показатель качества исполнения договоров об осуществлении технологическое присоединение заявителей к сети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</si>
  <si>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</si>
  <si>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r>
      <t>Показатель уровня качества осуществляемого технологического присоединения к сети (П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) определяются по формуле : </t>
    </r>
  </si>
  <si>
    <t>Показатель       (к формуле 2.2)</t>
  </si>
  <si>
    <t>Показатель       (к формуле 2.3)</t>
  </si>
  <si>
    <t>Показатель       (к формуле 2.4)</t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</si>
  <si>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0,4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+ 0,4 * 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+ 0,2 * П</t>
    </r>
    <r>
      <rPr>
        <vertAlign val="subscript"/>
        <sz val="13"/>
        <rFont val="Times New Roman"/>
        <family val="1"/>
      </rPr>
      <t>НПА_ТПР ,</t>
    </r>
    <r>
      <rPr>
        <sz val="13"/>
        <rFont val="Times New Roman"/>
        <family val="1"/>
      </rPr>
      <t xml:space="preserve"> (2,1)</t>
    </r>
  </si>
  <si>
    <r>
      <t>П</t>
    </r>
    <r>
      <rPr>
        <vertAlign val="subscript"/>
        <sz val="13"/>
        <rFont val="Times New Roman"/>
        <family val="1"/>
      </rPr>
      <t xml:space="preserve">ТПР = </t>
    </r>
  </si>
  <si>
    <t>б) наличие положения о деятельности структурного подразделения по работе с заявителями и потребителями услуг (наличие - 1, отсутствие - 0),</t>
  </si>
  <si>
    <t xml:space="preserve">   '- Значение не миняются по коэффициенту 0,015, так как по этим позициям значения не могут менятся по чуть-чуть там либо 0, либо 1</t>
  </si>
  <si>
    <t>1.1.Обрат. (0,75.б&gt;120%;0,5.б=(80-120%);0,25.б&lt;80%)</t>
  </si>
  <si>
    <t>1.2.Обрат. (0,75.б&gt;120%;0,5.б=(80-120%);0,25.б&lt;80%)</t>
  </si>
  <si>
    <t>1.3. Обрат. (0,75.б&gt;120%;0,5.б=(80-120%);0,25.б&lt;80%)</t>
  </si>
  <si>
    <t>2.1.Обрат. (0,75.б&gt;120%;0,5.б=(80-120%);0,25.б&lt;80%)</t>
  </si>
  <si>
    <t>3.2.Обрат. (0,75.б&gt;120%;0,5.б=(80-120%);0,25.б&lt;80%)</t>
  </si>
  <si>
    <t xml:space="preserve">3. </t>
  </si>
  <si>
    <t>1.2.а) Обрат. (0,75.б&gt;120%;0,5.б=(80-120%);0,25.б&lt;80%)</t>
  </si>
  <si>
    <t>1.2.б) Обрат. (0,75.б&gt;120%;0,5.б=(80-120%);0,25.б&lt;80%)</t>
  </si>
  <si>
    <t>3.1.Прям.(0,75.б&lt;80%;0,5.б=(80-120%);0,25.б&gt;120%)</t>
  </si>
  <si>
    <t>4.Обрат. (0,3.б&gt;120%;0,2.б=(80-120%);0,1.б&lt;80%)</t>
  </si>
  <si>
    <t>4.1. Обрат. (0,3.б&gt;120%;0,2.б=(80-120%);0,1.б&lt;80%)</t>
  </si>
  <si>
    <t>2.Обрат. (0,75.б&gt;120%;0,5.б=(80-120%);0,25.б&lt;80%)</t>
  </si>
  <si>
    <t>1.1.Прям.(3.б&lt;80%;2.б=(80-120%);1,0.б&gt;120%)</t>
  </si>
  <si>
    <t>1.2.Прям.(3.б&lt;80%;2.б=(80-120%);1,0.б&gt;120%)</t>
  </si>
  <si>
    <t>1.2. а) Прям.(3.б&lt;80%;2.б=(80-120%);1,0.б&gt;120%)</t>
  </si>
  <si>
    <t>1.2. б) Прям.(3.б&lt;80%;2.б=(80-120%);1,0.б&gt;120%)</t>
  </si>
  <si>
    <t>1.2. в) Прям.(3.б&lt;80%;2.б=(80-120%);1,0.б&gt;120%)</t>
  </si>
  <si>
    <t>1.2. г) Прям.(3.б&lt;80%;2.б=(80-120%);1,0.б&gt;120%)</t>
  </si>
  <si>
    <t>2.1. Прям.(3.б&lt;80%;2.б=(80-120%);1,0.б&gt;120%)</t>
  </si>
  <si>
    <t>2.2. Прям.(3.б&lt;80%;2.б=(80-120%);1,0.б&gt;120%)</t>
  </si>
  <si>
    <t>2.3. Прям.(3.б&lt;80%;2.б=(80-120%);1,0.б&gt;120%)</t>
  </si>
  <si>
    <t>3. Прям.(3.б&lt;80%;2.б=(80-120%);1,0.б&gt;120%)</t>
  </si>
  <si>
    <t>4.Прям.(3.б&lt;80%;2.б=(80-120%);1,0.б&gt;120%)</t>
  </si>
  <si>
    <t>1. Прям.(3.б&lt;80%;2.б=(80-120%);1,0.б&gt;120%)</t>
  </si>
  <si>
    <t>2.2.Прям.(3.б&lt;80%;2.б=(80-120%);1,0.б&gt;120%)</t>
  </si>
  <si>
    <t>2.5.Прям.(3.б&lt;80%;2.б=(80-120%);1,0.б&gt;120%)</t>
  </si>
  <si>
    <t>2.6.Прям.(3.б&lt;80%;2.б=(80-120%);1,0.б&gt;120%)</t>
  </si>
  <si>
    <t>3.2. Прям.(3.б&lt;80%;2.б=(80-120%);1,0.б&gt;120%)</t>
  </si>
  <si>
    <t>3.2. а) Прям.(3.б&lt;80%;2.б=(80-120%);1,0.б&gt;120%)</t>
  </si>
  <si>
    <t>3.2. б) Прям.(3.б&lt;80%;2.б=(80-120%);1,0.б&gt;120%)</t>
  </si>
  <si>
    <t>3.2. в) Прям.(3.б&lt;80%;2.б=(80-120%);1,0.б&gt;120%)</t>
  </si>
  <si>
    <t>5.2. Прям.(3.б&lt;80%;2.б=(80-120%);1,0.б&gt;120%)</t>
  </si>
  <si>
    <t>5.1.Обрат. (3.б&gt;120%;2.б=(80-120%);1.б&lt;80%)</t>
  </si>
  <si>
    <t>6.1.Обрат. (3.б&gt;120%;2.б=(80-120%);1.б&lt;80%)</t>
  </si>
  <si>
    <t>6.2.Обрат. (3.б&gt;120%;2.б=(80-120%);1.б&lt;80%)</t>
  </si>
  <si>
    <t>6.Обрат. (3.б&gt;120%;2.б=(80-120%);1.б&lt;80%)</t>
  </si>
  <si>
    <t>5.   Обрат. (3.б&gt;120%;2.б=(80-120%);1.б&lt;80%)</t>
  </si>
  <si>
    <t>2. Прям.(3.б&lt;80%;2.б=(80-120%);1,0.б&gt;120%)</t>
  </si>
  <si>
    <t>1.Обрат. (0,75.б&gt;120%;0,5.б=(80-120%);0,25.б&lt;80%)</t>
  </si>
  <si>
    <t>2.1.Обрат. (3.б&gt;120%;2.б=(80-120%);1.б&lt;80%)</t>
  </si>
  <si>
    <t>2.3. Обрат. (3.б&gt;120%;2.б=(80-120%);1.б&lt;80%)</t>
  </si>
  <si>
    <t>2.4. Обрат. (3.б&gt;120%;2.б=(80-120%);1.б&lt;80%)</t>
  </si>
  <si>
    <t>3.1.Обрат. (3.б&gt;120%;2.б=(80-120%);1.б&lt;80%)</t>
  </si>
  <si>
    <t>4.1. Обрат. (3.б&gt;120%;2.б=(80-120%);1.б&lt;80%)</t>
  </si>
  <si>
    <t>4.    Обрат. (3.б&gt;120%;2.б=(80-120%);1.б&lt;80%)</t>
  </si>
  <si>
    <t>Предлагаемое плановое значение показателя уровня качества оказываемых услуг ТСО    (формула 3.1.)</t>
  </si>
  <si>
    <r>
      <t>И</t>
    </r>
    <r>
      <rPr>
        <b/>
        <vertAlign val="subscript"/>
        <sz val="13"/>
        <rFont val="Times New Roman"/>
        <family val="1"/>
      </rPr>
      <t>н</t>
    </r>
    <r>
      <rPr>
        <b/>
        <sz val="13"/>
        <rFont val="Times New Roman"/>
        <family val="1"/>
      </rPr>
      <t xml:space="preserve">                       2.1.</t>
    </r>
  </si>
  <si>
    <r>
      <t>И</t>
    </r>
    <r>
      <rPr>
        <b/>
        <vertAlign val="subscript"/>
        <sz val="13"/>
        <rFont val="Times New Roman"/>
        <family val="1"/>
      </rPr>
      <t>с</t>
    </r>
    <r>
      <rPr>
        <b/>
        <sz val="13"/>
        <rFont val="Times New Roman"/>
        <family val="1"/>
      </rPr>
      <t xml:space="preserve">                      2.2.</t>
    </r>
  </si>
  <si>
    <r>
      <t>Р</t>
    </r>
    <r>
      <rPr>
        <b/>
        <vertAlign val="subscript"/>
        <sz val="13"/>
        <rFont val="Times New Roman"/>
        <family val="1"/>
      </rPr>
      <t>с</t>
    </r>
    <r>
      <rPr>
        <b/>
        <sz val="13"/>
        <rFont val="Times New Roman"/>
        <family val="1"/>
      </rPr>
      <t xml:space="preserve">                                       2.3.</t>
    </r>
  </si>
  <si>
    <r>
      <t>6. Итого по, (Р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 Форма 2.3 - Расчет знач.индикатору результативности обратной связи</t>
    </r>
  </si>
  <si>
    <t>1. Прям.</t>
  </si>
  <si>
    <t>1.1.Прям.</t>
  </si>
  <si>
    <t>1.2.Прям.</t>
  </si>
  <si>
    <t>1.2. а) Прям.</t>
  </si>
  <si>
    <t>1.2. б) Прям.</t>
  </si>
  <si>
    <t>1.2. в) Прям.</t>
  </si>
  <si>
    <t>1.2. г) Прям.</t>
  </si>
  <si>
    <t>2. Прям.</t>
  </si>
  <si>
    <t>2.1. Прям.</t>
  </si>
  <si>
    <t>2.2. Прям.</t>
  </si>
  <si>
    <t>2.3. Прям.</t>
  </si>
  <si>
    <t>3. Прям.</t>
  </si>
  <si>
    <t>4.Прям.</t>
  </si>
  <si>
    <t xml:space="preserve">5.   Обрат. </t>
  </si>
  <si>
    <t xml:space="preserve">5.1.Обрат. </t>
  </si>
  <si>
    <t>6.Обрат.</t>
  </si>
  <si>
    <t>6.1.Обрат.</t>
  </si>
  <si>
    <t>6.2.Обрат.</t>
  </si>
  <si>
    <t>1.Обрат.</t>
  </si>
  <si>
    <t xml:space="preserve">1.1.Обрат. </t>
  </si>
  <si>
    <t>1.2.Обрат.</t>
  </si>
  <si>
    <t xml:space="preserve">1.2.а) Обрат. </t>
  </si>
  <si>
    <t>1.2.б) Обрат.</t>
  </si>
  <si>
    <t>1.3. Обрат.</t>
  </si>
  <si>
    <t>2.Обрат.</t>
  </si>
  <si>
    <t>2.1.Обрат.</t>
  </si>
  <si>
    <t>3.1.Прям.</t>
  </si>
  <si>
    <t xml:space="preserve">3.2.Обрат. </t>
  </si>
  <si>
    <t>4.Обрат.</t>
  </si>
  <si>
    <t xml:space="preserve">4.1. Обрат. </t>
  </si>
  <si>
    <t xml:space="preserve">2.1.Обрат. </t>
  </si>
  <si>
    <t>2.2.Прям.</t>
  </si>
  <si>
    <t xml:space="preserve">2.3. Обрат. </t>
  </si>
  <si>
    <t>2.4. Обрат.</t>
  </si>
  <si>
    <t>2.5.Прям.</t>
  </si>
  <si>
    <t>2.6.Прям.</t>
  </si>
  <si>
    <t xml:space="preserve">3.1.Обрат. </t>
  </si>
  <si>
    <t>3.2. Прям</t>
  </si>
  <si>
    <t>3.2. а) Прям.</t>
  </si>
  <si>
    <t>3.2. б) Прям.</t>
  </si>
  <si>
    <t>3.2. в) Прям.</t>
  </si>
  <si>
    <t xml:space="preserve">4.    Обрат. </t>
  </si>
  <si>
    <t>5.2. Прям.</t>
  </si>
  <si>
    <t xml:space="preserve"> </t>
  </si>
  <si>
    <t>1
1
1</t>
  </si>
  <si>
    <t>1
1
1
1</t>
  </si>
  <si>
    <t>Форма 3.2</t>
  </si>
  <si>
    <t>Форма 3.3</t>
  </si>
  <si>
    <t>--</t>
  </si>
  <si>
    <t>1
1</t>
  </si>
  <si>
    <t xml:space="preserve">Расчет произведен на основании Методических указаний утвержденных приказом Минэнерго от 14.10.2013 г. № 718 </t>
  </si>
  <si>
    <t>(организация)</t>
  </si>
  <si>
    <t>Листов</t>
  </si>
  <si>
    <t>Номер
формы</t>
  </si>
  <si>
    <t>Описание
(обоснование)</t>
  </si>
  <si>
    <t>_________</t>
  </si>
  <si>
    <t>(4)</t>
  </si>
  <si>
    <t>Для организации по управлению 
единой национальной (общероссийской) электрической сетью:                α = 0,75
Для территориальной сетевой организации:         α = 0,65</t>
  </si>
  <si>
    <t xml:space="preserve">1
1
1
1
1
1
</t>
  </si>
  <si>
    <t xml:space="preserve">1
1
1
</t>
  </si>
  <si>
    <t>7. оценка достижения показателя уровня качества оказываемых услуг, Ккач1</t>
  </si>
  <si>
    <t>8. оценка достижения показателя уровня качества оказываемых услуг, Ккач2</t>
  </si>
  <si>
    <t>9. обобщенный показатель уровня надежности и качества оказываемых услуг, Коб</t>
  </si>
  <si>
    <t>6. оценка достижения показателя уровня качества оказываемых услуг, Ккач   (организации по управлению единой национальной (общероссийской) электрической сетью)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</si>
  <si>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</si>
  <si>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в десятках шт. (Почз_тпр)</t>
  </si>
  <si>
    <r>
      <t>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 xml:space="preserve"> = </t>
    </r>
  </si>
  <si>
    <t>Показатель качества рассмотрения заявок на технологическое присоединение</t>
  </si>
  <si>
    <r>
      <t xml:space="preserve">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) - определяются : </t>
    </r>
  </si>
  <si>
    <r>
      <t>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=</t>
    </r>
  </si>
  <si>
    <t>Форма 3.1.</t>
  </si>
  <si>
    <t>Форма 3.3.</t>
  </si>
  <si>
    <r>
      <t>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= N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/ max ( 1 ; N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- N</t>
    </r>
    <r>
      <rPr>
        <vertAlign val="superscript"/>
        <sz val="13"/>
        <rFont val="Times New Roman"/>
        <family val="1"/>
      </rPr>
      <t>нс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>),  (2.2)</t>
    </r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</si>
  <si>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0,4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+ 0,4 * 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+ 0,2 * П</t>
    </r>
    <r>
      <rPr>
        <vertAlign val="subscript"/>
        <sz val="13"/>
        <rFont val="Times New Roman"/>
        <family val="1"/>
      </rPr>
      <t>НПА_ТПР ,</t>
    </r>
    <r>
      <rPr>
        <sz val="13"/>
        <rFont val="Times New Roman"/>
        <family val="1"/>
      </rPr>
      <t xml:space="preserve"> (2.1)</t>
    </r>
  </si>
  <si>
    <t>Показатель качества исполнения договоров об осуществлении технологическое</t>
  </si>
  <si>
    <r>
      <t xml:space="preserve"> присоединение заявителей к сети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 xml:space="preserve">) - определяются : </t>
    </r>
  </si>
  <si>
    <t>Форма 3.2.</t>
  </si>
  <si>
    <r>
      <t>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= N</t>
    </r>
    <r>
      <rPr>
        <vertAlign val="subscript"/>
        <sz val="13"/>
        <rFont val="Times New Roman"/>
        <family val="1"/>
      </rPr>
      <t>сд_тпр</t>
    </r>
    <r>
      <rPr>
        <sz val="13"/>
        <rFont val="Times New Roman"/>
        <family val="1"/>
      </rPr>
      <t xml:space="preserve"> / max ( 1 ; N</t>
    </r>
    <r>
      <rPr>
        <vertAlign val="subscript"/>
        <sz val="13"/>
        <rFont val="Times New Roman"/>
        <family val="1"/>
      </rPr>
      <t>сд_тпр</t>
    </r>
    <r>
      <rPr>
        <sz val="13"/>
        <rFont val="Times New Roman"/>
        <family val="1"/>
      </rPr>
      <t xml:space="preserve"> - N</t>
    </r>
    <r>
      <rPr>
        <vertAlign val="superscript"/>
        <sz val="13"/>
        <rFont val="Times New Roman"/>
        <family val="1"/>
      </rPr>
      <t>нс</t>
    </r>
    <r>
      <rPr>
        <vertAlign val="subscript"/>
        <sz val="13"/>
        <rFont val="Times New Roman"/>
        <family val="1"/>
      </rPr>
      <t>сд_тпр</t>
    </r>
    <r>
      <rPr>
        <sz val="13"/>
        <rFont val="Times New Roman"/>
        <family val="1"/>
      </rPr>
      <t>),  (2.3)</t>
    </r>
  </si>
  <si>
    <r>
      <t>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=</t>
    </r>
  </si>
  <si>
    <r>
      <t>П</t>
    </r>
    <r>
      <rPr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 xml:space="preserve"> =</t>
    </r>
  </si>
  <si>
    <r>
      <t>П</t>
    </r>
    <r>
      <rPr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 xml:space="preserve"> = N</t>
    </r>
    <r>
      <rPr>
        <vertAlign val="subscript"/>
        <sz val="13"/>
        <rFont val="Times New Roman"/>
        <family val="1"/>
      </rPr>
      <t>очз_тпр</t>
    </r>
    <r>
      <rPr>
        <sz val="13"/>
        <rFont val="Times New Roman"/>
        <family val="1"/>
      </rPr>
      <t xml:space="preserve"> / max ( 1 ; N</t>
    </r>
    <r>
      <rPr>
        <vertAlign val="subscript"/>
        <sz val="13"/>
        <rFont val="Times New Roman"/>
        <family val="1"/>
      </rPr>
      <t>очз_тпр</t>
    </r>
    <r>
      <rPr>
        <sz val="13"/>
        <rFont val="Times New Roman"/>
        <family val="1"/>
      </rPr>
      <t xml:space="preserve"> - N</t>
    </r>
    <r>
      <rPr>
        <vertAlign val="subscript"/>
        <sz val="13"/>
        <rFont val="Times New Roman"/>
        <family val="1"/>
      </rPr>
      <t>н_тпр</t>
    </r>
    <r>
      <rPr>
        <sz val="13"/>
        <rFont val="Times New Roman"/>
        <family val="1"/>
      </rPr>
      <t>),  (2.4)</t>
    </r>
  </si>
  <si>
    <r>
      <t>Показатель соблюдения антимонопольного законодательства при технологическое 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</si>
  <si>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Показатель соблюдения антимонопольного законодательства при технологическое</t>
  </si>
  <si>
    <r>
      <t xml:space="preserve"> присоединении заявителей к электрическим сетям сетевой организации (П</t>
    </r>
    <r>
      <rPr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>)</t>
    </r>
  </si>
  <si>
    <t>определяется по формуле :</t>
  </si>
  <si>
    <r>
      <t>Значение показателя уровня качества обслуживания потребителей услуг (П</t>
    </r>
    <r>
      <rPr>
        <vertAlign val="subscript"/>
        <sz val="13"/>
        <rFont val="Times New Roman"/>
        <family val="1"/>
      </rPr>
      <t>ТСО</t>
    </r>
    <r>
      <rPr>
        <sz val="13"/>
        <rFont val="Times New Roman"/>
        <family val="1"/>
      </rPr>
      <t>)</t>
    </r>
  </si>
  <si>
    <r>
      <t>П</t>
    </r>
    <r>
      <rPr>
        <vertAlign val="subscript"/>
        <sz val="13"/>
        <rFont val="Times New Roman"/>
        <family val="1"/>
      </rPr>
      <t>ТСО</t>
    </r>
    <r>
      <rPr>
        <sz val="13"/>
        <rFont val="Times New Roman"/>
        <family val="1"/>
      </rPr>
      <t xml:space="preserve"> = 0,1 * И</t>
    </r>
    <r>
      <rPr>
        <vertAlign val="subscript"/>
        <sz val="13"/>
        <rFont val="Times New Roman"/>
        <family val="1"/>
      </rPr>
      <t>Н</t>
    </r>
    <r>
      <rPr>
        <sz val="13"/>
        <rFont val="Times New Roman"/>
        <family val="1"/>
      </rPr>
      <t xml:space="preserve"> + 0,7 * И</t>
    </r>
    <r>
      <rPr>
        <vertAlign val="subscript"/>
        <sz val="13"/>
        <rFont val="Times New Roman"/>
        <family val="1"/>
      </rPr>
      <t>С</t>
    </r>
    <r>
      <rPr>
        <sz val="13"/>
        <rFont val="Times New Roman"/>
        <family val="1"/>
      </rPr>
      <t xml:space="preserve"> + 0,2 * Р</t>
    </r>
    <r>
      <rPr>
        <vertAlign val="subscript"/>
        <sz val="13"/>
        <rFont val="Times New Roman"/>
        <family val="1"/>
      </rPr>
      <t>С</t>
    </r>
    <r>
      <rPr>
        <sz val="13"/>
        <rFont val="Times New Roman"/>
        <family val="1"/>
      </rPr>
      <t xml:space="preserve"> ,     (3.1)</t>
    </r>
  </si>
  <si>
    <r>
      <t>П</t>
    </r>
    <r>
      <rPr>
        <vertAlign val="subscript"/>
        <sz val="14"/>
        <rFont val="Times New Roman"/>
        <family val="1"/>
      </rPr>
      <t>ТСО</t>
    </r>
    <r>
      <rPr>
        <sz val="14"/>
        <rFont val="Times New Roman"/>
        <family val="1"/>
      </rPr>
      <t xml:space="preserve"> = </t>
    </r>
  </si>
  <si>
    <t>Оценка каждого параметра (критерия) производится анализ значения величины</t>
  </si>
  <si>
    <t xml:space="preserve"> (Ф / П * 100) определяется  :</t>
  </si>
  <si>
    <t>Для первого расчетного периода регулирования, на который устанавливаются плановые</t>
  </si>
  <si>
    <t xml:space="preserve"> значения, в долгосрочном периоде регулирования плановые значения приравниваются к</t>
  </si>
  <si>
    <t xml:space="preserve"> среднему значению фактических значений показателей.</t>
  </si>
  <si>
    <r>
      <t>П</t>
    </r>
    <r>
      <rPr>
        <vertAlign val="superscript"/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Пi</t>
    </r>
    <r>
      <rPr>
        <sz val="14"/>
        <rFont val="Times New Roman"/>
        <family val="1"/>
      </rPr>
      <t xml:space="preserve"> = </t>
    </r>
  </si>
  <si>
    <r>
      <t>П</t>
    </r>
    <r>
      <rPr>
        <vertAlign val="superscript"/>
        <sz val="14"/>
        <rFont val="Times New Roman"/>
        <family val="1"/>
      </rPr>
      <t>ПЛ</t>
    </r>
    <r>
      <rPr>
        <vertAlign val="subscript"/>
        <sz val="14"/>
        <rFont val="Times New Roman"/>
        <family val="1"/>
      </rPr>
      <t xml:space="preserve">t,I </t>
    </r>
    <r>
      <rPr>
        <sz val="14"/>
        <rFont val="Times New Roman"/>
        <family val="1"/>
      </rPr>
      <t>= П</t>
    </r>
    <r>
      <rPr>
        <vertAlign val="superscript"/>
        <sz val="14"/>
        <rFont val="Times New Roman"/>
        <family val="1"/>
      </rPr>
      <t>ПЛ</t>
    </r>
    <r>
      <rPr>
        <vertAlign val="subscript"/>
        <sz val="14"/>
        <rFont val="Times New Roman"/>
        <family val="1"/>
      </rPr>
      <t>t-1,I</t>
    </r>
    <r>
      <rPr>
        <sz val="14"/>
        <rFont val="Times New Roman"/>
        <family val="1"/>
      </rPr>
      <t xml:space="preserve"> х (1-р)     (4)</t>
    </r>
  </si>
  <si>
    <r>
      <t>П</t>
    </r>
    <r>
      <rPr>
        <vertAlign val="superscript"/>
        <sz val="14"/>
        <rFont val="Times New Roman"/>
        <family val="1"/>
      </rPr>
      <t>ПЛ</t>
    </r>
    <r>
      <rPr>
        <vertAlign val="subscript"/>
        <sz val="14"/>
        <rFont val="Times New Roman"/>
        <family val="1"/>
      </rPr>
      <t xml:space="preserve">t,I </t>
    </r>
    <r>
      <rPr>
        <sz val="14"/>
        <rFont val="Times New Roman"/>
        <family val="1"/>
      </rPr>
      <t>=</t>
    </r>
  </si>
  <si>
    <r>
      <t>П</t>
    </r>
    <r>
      <rPr>
        <vertAlign val="subscript"/>
        <sz val="14"/>
        <rFont val="Times New Roman"/>
        <family val="1"/>
      </rPr>
      <t xml:space="preserve">П </t>
    </r>
    <r>
      <rPr>
        <sz val="14"/>
        <rFont val="Times New Roman"/>
        <family val="1"/>
      </rPr>
      <t>≤ П</t>
    </r>
    <r>
      <rPr>
        <vertAlign val="superscript"/>
        <sz val="14"/>
        <rFont val="Times New Roman"/>
        <family val="1"/>
      </rPr>
      <t>ПЛ</t>
    </r>
    <r>
      <rPr>
        <vertAlign val="subscript"/>
        <sz val="14"/>
        <rFont val="Times New Roman"/>
        <family val="1"/>
      </rPr>
      <t xml:space="preserve">П </t>
    </r>
    <r>
      <rPr>
        <sz val="14"/>
        <rFont val="Times New Roman"/>
        <family val="1"/>
      </rPr>
      <t>х (1+К)</t>
    </r>
  </si>
  <si>
    <r>
      <t>П</t>
    </r>
    <r>
      <rPr>
        <vertAlign val="subscript"/>
        <sz val="14"/>
        <rFont val="Times New Roman"/>
        <family val="1"/>
      </rPr>
      <t xml:space="preserve">ТСО </t>
    </r>
    <r>
      <rPr>
        <sz val="14"/>
        <rFont val="Times New Roman"/>
        <family val="1"/>
      </rPr>
      <t>≤ П</t>
    </r>
    <r>
      <rPr>
        <vertAlign val="superscript"/>
        <sz val="14"/>
        <rFont val="Times New Roman"/>
        <family val="1"/>
      </rPr>
      <t>ПЛ</t>
    </r>
    <r>
      <rPr>
        <vertAlign val="subscript"/>
        <sz val="14"/>
        <rFont val="Times New Roman"/>
        <family val="1"/>
      </rPr>
      <t xml:space="preserve">ТСО </t>
    </r>
    <r>
      <rPr>
        <sz val="14"/>
        <rFont val="Times New Roman"/>
        <family val="1"/>
      </rPr>
      <t>х (1+К)</t>
    </r>
  </si>
  <si>
    <r>
      <t>П</t>
    </r>
    <r>
      <rPr>
        <vertAlign val="subscript"/>
        <sz val="14"/>
        <rFont val="Times New Roman"/>
        <family val="1"/>
      </rPr>
      <t xml:space="preserve">П </t>
    </r>
    <r>
      <rPr>
        <sz val="14"/>
        <rFont val="Times New Roman"/>
        <family val="1"/>
      </rPr>
      <t>≤ П</t>
    </r>
    <r>
      <rPr>
        <vertAlign val="superscript"/>
        <sz val="14"/>
        <rFont val="Times New Roman"/>
        <family val="1"/>
      </rPr>
      <t>ПЛ</t>
    </r>
    <r>
      <rPr>
        <vertAlign val="subscript"/>
        <sz val="14"/>
        <rFont val="Times New Roman"/>
        <family val="1"/>
      </rPr>
      <t xml:space="preserve">П </t>
    </r>
    <r>
      <rPr>
        <sz val="14"/>
        <rFont val="Times New Roman"/>
        <family val="1"/>
      </rPr>
      <t>х (1-К)</t>
    </r>
  </si>
  <si>
    <r>
      <t>П</t>
    </r>
    <r>
      <rPr>
        <vertAlign val="subscript"/>
        <sz val="14"/>
        <rFont val="Times New Roman"/>
        <family val="1"/>
      </rPr>
      <t xml:space="preserve">ТСО </t>
    </r>
    <r>
      <rPr>
        <sz val="14"/>
        <rFont val="Times New Roman"/>
        <family val="1"/>
      </rPr>
      <t>≤ П</t>
    </r>
    <r>
      <rPr>
        <vertAlign val="superscript"/>
        <sz val="14"/>
        <rFont val="Times New Roman"/>
        <family val="1"/>
      </rPr>
      <t>ПЛ</t>
    </r>
    <r>
      <rPr>
        <vertAlign val="subscript"/>
        <sz val="14"/>
        <rFont val="Times New Roman"/>
        <family val="1"/>
      </rPr>
      <t xml:space="preserve">ТСО </t>
    </r>
    <r>
      <rPr>
        <sz val="14"/>
        <rFont val="Times New Roman"/>
        <family val="1"/>
      </rPr>
      <t>х (1-К)</t>
    </r>
  </si>
  <si>
    <r>
      <t>К</t>
    </r>
    <r>
      <rPr>
        <vertAlign val="subscript"/>
        <sz val="14"/>
        <rFont val="Times New Roman"/>
        <family val="1"/>
      </rPr>
      <t>об</t>
    </r>
    <r>
      <rPr>
        <sz val="14"/>
        <rFont val="Times New Roman"/>
        <family val="1"/>
      </rPr>
      <t xml:space="preserve"> = α х К</t>
    </r>
    <r>
      <rPr>
        <vertAlign val="subscript"/>
        <sz val="14"/>
        <rFont val="Times New Roman"/>
        <family val="1"/>
      </rPr>
      <t>над</t>
    </r>
    <r>
      <rPr>
        <sz val="14"/>
        <rFont val="Times New Roman"/>
        <family val="1"/>
      </rPr>
      <t xml:space="preserve"> + β1 х К</t>
    </r>
    <r>
      <rPr>
        <vertAlign val="subscript"/>
        <sz val="14"/>
        <rFont val="Times New Roman"/>
        <family val="1"/>
      </rPr>
      <t xml:space="preserve">кач1 </t>
    </r>
    <r>
      <rPr>
        <sz val="14"/>
        <rFont val="Times New Roman"/>
        <family val="1"/>
      </rPr>
      <t>+  β2 х К</t>
    </r>
    <r>
      <rPr>
        <vertAlign val="subscript"/>
        <sz val="14"/>
        <rFont val="Times New Roman"/>
        <family val="1"/>
      </rPr>
      <t>2кач</t>
    </r>
    <r>
      <rPr>
        <sz val="14"/>
        <rFont val="Times New Roman"/>
        <family val="1"/>
      </rPr>
      <t xml:space="preserve"> </t>
    </r>
    <r>
      <rPr>
        <vertAlign val="subscript"/>
        <sz val="14"/>
        <rFont val="Times New Roman"/>
        <family val="1"/>
      </rPr>
      <t xml:space="preserve">     </t>
    </r>
    <r>
      <rPr>
        <sz val="14"/>
        <rFont val="Times New Roman"/>
        <family val="1"/>
      </rPr>
      <t>(5)</t>
    </r>
  </si>
  <si>
    <t>1
1
1
1
1</t>
  </si>
  <si>
    <r>
      <t>К</t>
    </r>
    <r>
      <rPr>
        <vertAlign val="subscript"/>
        <sz val="14"/>
        <rFont val="Times New Roman"/>
        <family val="1"/>
      </rPr>
      <t xml:space="preserve">об  </t>
    </r>
    <r>
      <rPr>
        <sz val="14"/>
        <rFont val="Times New Roman"/>
        <family val="1"/>
      </rPr>
      <t>=</t>
    </r>
  </si>
  <si>
    <t>к Пояснительной записке от _______________ №</t>
  </si>
  <si>
    <r>
      <t>Показатель качества предоставления возможности технологического присоединения 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</si>
  <si>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t>год</t>
  </si>
  <si>
    <t>наименование электросетевой организации</t>
  </si>
  <si>
    <t>№ п/п</t>
  </si>
  <si>
    <t>Наименование составляющей показателя</t>
  </si>
  <si>
    <t>Метод определения</t>
  </si>
  <si>
    <t>Плановые значения показателей на долгосрочный период регулирования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</si>
  <si>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</si>
  <si>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</si>
  <si>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Форма 8.1</t>
  </si>
  <si>
    <t>Форма 8.3</t>
  </si>
  <si>
    <t>Факт План</t>
  </si>
  <si>
    <t>Поясни-
тельная</t>
  </si>
  <si>
    <t>Пояснительная записка</t>
  </si>
  <si>
    <t>Январь - Журнал учета</t>
  </si>
  <si>
    <t>Февраль - Журнал учета</t>
  </si>
  <si>
    <t>Март - Журнал учета</t>
  </si>
  <si>
    <t>Апрель - Журнал учета</t>
  </si>
  <si>
    <t>Май - Журнал учета</t>
  </si>
  <si>
    <t>Июнь - Журнал учета</t>
  </si>
  <si>
    <t>Июль - Журнал учета</t>
  </si>
  <si>
    <t>Август - Журнал учета</t>
  </si>
  <si>
    <t>Сентябрь - Журнал учета</t>
  </si>
  <si>
    <t>Октябрь - Журнал учета</t>
  </si>
  <si>
    <t>Ноябрь - Журнал учета</t>
  </si>
  <si>
    <t>Декабрь - Журнал учета</t>
  </si>
  <si>
    <t>Так как данные имеются только за 2015 г. Расчет производим исходя из 2015 года.</t>
  </si>
  <si>
    <t>ООО "Томские электрические сети"</t>
  </si>
  <si>
    <t>Фактические значения 2017 год</t>
  </si>
  <si>
    <t>Осипов Д.С.</t>
  </si>
  <si>
    <t>Директор</t>
  </si>
  <si>
    <t>Плановые значения 2019 год</t>
  </si>
  <si>
    <t>Плановые значения 2019</t>
  </si>
  <si>
    <t>Плановые значения на 2019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</si>
  <si>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</si>
  <si>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</si>
  <si>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</si>
  <si>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Общество с ограниченной ответственностью «Томские электрические сети» (ООО «Томские электрические сети»)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</si>
  <si>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</si>
  <si>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</si>
  <si>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</si>
  <si>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</si>
  <si>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</si>
  <si>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</si>
  <si>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</si>
  <si>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</si>
  <si>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</si>
  <si>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</si>
  <si>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</si>
  <si>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</si>
  <si>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</si>
  <si>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</si>
  <si>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</si>
  <si>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</si>
  <si>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</si>
  <si>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</si>
  <si>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</si>
  <si>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</si>
  <si>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</si>
  <si>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</si>
  <si>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</si>
  <si>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</si>
  <si>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</si>
  <si>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</si>
  <si>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</si>
  <si>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</si>
  <si>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</si>
  <si>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</si>
  <si>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</si>
  <si>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</si>
  <si>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</si>
  <si>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Общество с ограниченной ответственностью «Томские электрические сети» (ООО «Томские электрические сети») ТЭС</t>
  </si>
  <si>
    <t>ТП</t>
  </si>
  <si>
    <t>ТП 610-7</t>
  </si>
  <si>
    <t>09,00 2017.01.09</t>
  </si>
  <si>
    <t>12,00 2017.01.09</t>
  </si>
  <si>
    <t>П</t>
  </si>
  <si>
    <t>ТП Б-6-9</t>
  </si>
  <si>
    <t>11,30 2017.04.08</t>
  </si>
  <si>
    <t>13,00 2017.04.08</t>
  </si>
  <si>
    <t>КЛ</t>
  </si>
  <si>
    <t>ТП-12п</t>
  </si>
  <si>
    <t>05,45 2017.08.09</t>
  </si>
  <si>
    <t>17,30 2017.08.09</t>
  </si>
  <si>
    <t>В</t>
  </si>
  <si>
    <t>КЛ 10 кВ ф.5 ТП-12П</t>
  </si>
  <si>
    <t>Общество с ограниченной ответственностью «Горсети» (ООО «Горсети»)</t>
  </si>
  <si>
    <t>3.4.9.1</t>
  </si>
  <si>
    <t>ВЛ</t>
  </si>
  <si>
    <t>ТП "Нерудник</t>
  </si>
  <si>
    <t>15,00 2017.02.13</t>
  </si>
  <si>
    <t>16,00 2017.02.13</t>
  </si>
  <si>
    <t>03,52 2017.08.25</t>
  </si>
  <si>
    <t>05,25 2017.08.25</t>
  </si>
  <si>
    <t>ВЛ 10 кВ ВЛ - 10 кВ от яч. 5 ТП-12-п</t>
  </si>
  <si>
    <t>ТП ЗР-1-9</t>
  </si>
  <si>
    <t>11,00 2017.02.17</t>
  </si>
  <si>
    <t>12,00 2017.02.17</t>
  </si>
  <si>
    <t>ТП К-16-25</t>
  </si>
  <si>
    <t>16,45 2017.09.22</t>
  </si>
  <si>
    <t>22,20 2017.09.22</t>
  </si>
  <si>
    <t>ВЛ 10 кВ ф.К-16</t>
  </si>
  <si>
    <t>09,00 2017.03.15</t>
  </si>
  <si>
    <t>12,00 2017.03.15</t>
  </si>
  <si>
    <t>ТП ПВ-7-8</t>
  </si>
  <si>
    <t>11,34 2017.10.10</t>
  </si>
  <si>
    <t>17,45 2017.10.10</t>
  </si>
  <si>
    <t>В1</t>
  </si>
  <si>
    <t>ТП 10 кВ ТП ПВ-7-8</t>
  </si>
  <si>
    <t>3.4.10</t>
  </si>
  <si>
    <t>ТП АП-8-10</t>
  </si>
  <si>
    <t>10,00 2017.03.16</t>
  </si>
  <si>
    <t>13,00 2017.03.16</t>
  </si>
  <si>
    <t>ПС</t>
  </si>
  <si>
    <t>ПС 35/10 "Гравийная"</t>
  </si>
  <si>
    <t>22,30 2017.10.12</t>
  </si>
  <si>
    <t>23,28 2017.10.12</t>
  </si>
  <si>
    <t>КЛ 35 кВ Отпайка от ф.3572;ПС 35 кВ Трансформатор №2</t>
  </si>
  <si>
    <t>2017-04-28</t>
  </si>
  <si>
    <t>3.4.13.4</t>
  </si>
  <si>
    <t>11,00 2017.03.30</t>
  </si>
  <si>
    <t>14,00 2017.03.30</t>
  </si>
  <si>
    <t>ВЛ-0,4 ф.1</t>
  </si>
  <si>
    <t>КТП ЗЛ-3-2</t>
  </si>
  <si>
    <t>18,00 2017.11.09</t>
  </si>
  <si>
    <t>02,45 2017.11.10</t>
  </si>
  <si>
    <t>ТП 10 кВ КТП ЗЛ-3-2</t>
  </si>
  <si>
    <t>3.4.12.1</t>
  </si>
  <si>
    <t>ф.ГП-4</t>
  </si>
  <si>
    <t>08,00 2017.11.21</t>
  </si>
  <si>
    <t>10,09 2017.11.21</t>
  </si>
  <si>
    <t>КЛ 10 кВ от яч.4 ГПП-2 ф.ГП-72 в сторону ТП-2 «ОЭЗ»</t>
  </si>
  <si>
    <t>2017-10-28</t>
  </si>
  <si>
    <t>ТП-695</t>
  </si>
  <si>
    <t>09,20 2017.05.11</t>
  </si>
  <si>
    <t>12,20 2017.05.11</t>
  </si>
  <si>
    <t>РП "1 Сиб", КЛ-10кВ ф.21, ТП-695</t>
  </si>
  <si>
    <t>ТП-2 ОЭЗ</t>
  </si>
  <si>
    <t>18,06 2017.12.04</t>
  </si>
  <si>
    <t>18,55 2017.12.04</t>
  </si>
  <si>
    <t>ТП 10 кВ ТП-2 ОЭЗ</t>
  </si>
  <si>
    <t>11,00 2017.05.12</t>
  </si>
  <si>
    <t>15,00 2017.05.12</t>
  </si>
  <si>
    <t>А</t>
  </si>
  <si>
    <t>Яч.7 ТП-12п</t>
  </si>
  <si>
    <t>ООО "Горсети", ООО "Сибирская электросеть</t>
  </si>
  <si>
    <t>ВЛ-10 кВ ф-17</t>
  </si>
  <si>
    <t>10,40 2017.12.19</t>
  </si>
  <si>
    <t>11,12 2017.12.19</t>
  </si>
  <si>
    <t>ВЛ 10 кВ ф.-17, ТП Л-17-9, ТП Л-17-11, ТП Л-17-13</t>
  </si>
  <si>
    <t>ТП 940-43</t>
  </si>
  <si>
    <t>18,00 2017.05.16</t>
  </si>
  <si>
    <t>20,30 2017.05.16</t>
  </si>
  <si>
    <t>РП "ЛПК" ООО "Горсети", ТП 940-43</t>
  </si>
  <si>
    <t>ф.-17</t>
  </si>
  <si>
    <t>22,03 2017.12.19</t>
  </si>
  <si>
    <t>23,00 2017.12.19</t>
  </si>
  <si>
    <t>ВЛ 10 кВ ВЛ-10 кВ ф.-17 ТП Л-17-9, Л-17-11, Л-17-13</t>
  </si>
  <si>
    <t>16,45 2017.05.20</t>
  </si>
  <si>
    <t>19,45 2017.05.20</t>
  </si>
  <si>
    <t>3.4.12.3</t>
  </si>
  <si>
    <t>ВЛ-10 кВ ф-Д.10</t>
  </si>
  <si>
    <t>10,00 2017.12.22</t>
  </si>
  <si>
    <t>13,29 2017.12.23</t>
  </si>
  <si>
    <t>ВЛ 10 кВ ВЛ-10 кВ ф.Д-10 ТП 10/0,4 кВ "Недвижимость"</t>
  </si>
  <si>
    <t>17,00 2017.05.20</t>
  </si>
  <si>
    <t>22,00 2017.05.20</t>
  </si>
  <si>
    <t>ВЛ-10кВ ООО "Горсети", ТП-12п</t>
  </si>
  <si>
    <t>ТП-12п, КЛ от яч. 5 до ТП-726</t>
  </si>
  <si>
    <t>09,30 2017.05.22</t>
  </si>
  <si>
    <t>11,50 2017.05.22</t>
  </si>
  <si>
    <t>яч.5 ТП-12п, КЛ-10кВ</t>
  </si>
  <si>
    <t>ООО "Горсети</t>
  </si>
  <si>
    <t>ф. Г-1</t>
  </si>
  <si>
    <t>09,00 2017.05.30</t>
  </si>
  <si>
    <t>13,00 2017.05.30</t>
  </si>
  <si>
    <t>Ф.Г-1 ПС "Гравийная", ТП "ФССК", ТП "Нерудник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</si>
  <si>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</si>
  <si>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Наименование сетевой организации</t>
  </si>
  <si>
    <t>За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</si>
  <si>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</si>
  <si>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 xml:space="preserve">1.1. 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</si>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</sst>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0"/>
    <numFmt numFmtId="174" formatCode="0.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[$-FC19]d\ mmmm\ yyyy\ &quot;г.&quot;"/>
    <numFmt numFmtId="181" formatCode="000000"/>
    <numFmt numFmtId="182" formatCode="_-* #,##0_р_._-;\-* #,##0_р_._-;_-* &quot;-&quot;??_р_._-;_-@_-"/>
    <numFmt numFmtId="183" formatCode="0.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07">
    <font>
      <sz val="12"/>
      <name val="Times New Roman"/>
      <family val="0"/>
    </font>
    <font>
      <sz val="11"/>
      <color indexed="8"/>
      <name val="Calibri"/>
      <family val="2"/>
    </font>
    <font>
      <sz val="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 Cyr"/>
      <family val="0"/>
    </font>
    <font>
      <b/>
      <sz val="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2"/>
      <color indexed="9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8"/>
      <color indexed="10"/>
      <name val="Times New Roman"/>
      <family val="1"/>
    </font>
    <font>
      <b/>
      <sz val="20"/>
      <name val="Times New Roman"/>
      <family val="1"/>
    </font>
    <font>
      <b/>
      <sz val="2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1.75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bscript"/>
      <sz val="13"/>
      <name val="Times New Roman"/>
      <family val="1"/>
    </font>
    <font>
      <b/>
      <vertAlign val="subscript"/>
      <sz val="13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3"/>
      <name val="Times New Roman"/>
      <family val="1"/>
    </font>
    <font>
      <vertAlign val="subscript"/>
      <sz val="14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i/>
      <sz val="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2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i/>
      <u val="single"/>
      <sz val="10"/>
      <color indexed="8"/>
      <name val="Arial Narrow"/>
      <family val="2"/>
    </font>
    <font>
      <i/>
      <u val="single"/>
      <sz val="10"/>
      <color indexed="8"/>
      <name val="Calibri"/>
      <family val="2"/>
    </font>
    <font>
      <vertAlign val="subscript"/>
      <sz val="11"/>
      <color indexed="8"/>
      <name val="Arial Narrow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Times New Roman"/>
      <family val="1"/>
    </font>
    <font>
      <sz val="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2"/>
      <color theme="0"/>
      <name val="Times New Roman"/>
      <family val="1"/>
    </font>
    <font>
      <sz val="11"/>
      <color theme="1"/>
      <name val="Times New Roman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i/>
      <u val="single"/>
      <sz val="10"/>
      <color rgb="FF000000"/>
      <name val="Arial Narrow"/>
      <family val="2"/>
    </font>
    <font>
      <i/>
      <u val="single"/>
      <sz val="10"/>
      <color rgb="FF000000"/>
      <name val="Calibri"/>
      <family val="2"/>
    </font>
    <font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172" fontId="7" fillId="0" borderId="0">
      <alignment/>
      <protection locked="0"/>
    </xf>
    <xf numFmtId="0" fontId="73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 horizontal="left" vertical="center"/>
      <protection/>
    </xf>
    <xf numFmtId="0" fontId="3" fillId="0" borderId="0" xfId="54" applyNumberFormat="1" applyFont="1" applyFill="1" applyAlignment="1" applyProtection="1">
      <alignment horizontal="left" vertical="center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NumberFormat="1" applyFont="1" applyFill="1" applyBorder="1" applyAlignment="1" applyProtection="1">
      <alignment horizontal="left" vertical="center"/>
      <protection/>
    </xf>
    <xf numFmtId="0" fontId="8" fillId="0" borderId="0" xfId="54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54" applyNumberFormat="1" applyFont="1" applyFill="1" applyBorder="1" applyAlignment="1" applyProtection="1">
      <alignment horizontal="left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5" xfId="54" applyNumberFormat="1" applyFont="1" applyFill="1" applyBorder="1" applyAlignment="1" applyProtection="1">
      <alignment horizontal="center" vertical="center" wrapText="1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/>
    </xf>
    <xf numFmtId="0" fontId="9" fillId="33" borderId="17" xfId="54" applyNumberFormat="1" applyFont="1" applyFill="1" applyBorder="1" applyAlignment="1" applyProtection="1">
      <alignment horizontal="center" vertical="center"/>
      <protection/>
    </xf>
    <xf numFmtId="0" fontId="4" fillId="0" borderId="11" xfId="54" applyNumberFormat="1" applyFont="1" applyFill="1" applyBorder="1" applyAlignment="1" applyProtection="1">
      <alignment horizontal="center" vertical="center" wrapText="1"/>
      <protection/>
    </xf>
    <xf numFmtId="176" fontId="9" fillId="33" borderId="17" xfId="54" applyNumberFormat="1" applyFont="1" applyFill="1" applyBorder="1" applyAlignment="1" applyProtection="1">
      <alignment horizontal="center" vertical="center"/>
      <protection/>
    </xf>
    <xf numFmtId="0" fontId="25" fillId="0" borderId="11" xfId="54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textRotation="90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textRotation="90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54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54" applyNumberFormat="1" applyFont="1" applyFill="1" applyBorder="1" applyAlignment="1" applyProtection="1">
      <alignment horizontal="center" vertical="center" wrapText="1"/>
      <protection/>
    </xf>
    <xf numFmtId="175" fontId="9" fillId="33" borderId="1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76" fontId="9" fillId="34" borderId="11" xfId="54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0" fontId="11" fillId="0" borderId="0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175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Border="1" applyAlignment="1" applyProtection="1">
      <alignment horizontal="left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11" fillId="0" borderId="16" xfId="0" applyNumberFormat="1" applyFont="1" applyBorder="1" applyAlignment="1" applyProtection="1">
      <alignment horizontal="left" indent="2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11" fillId="0" borderId="11" xfId="57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horizontal="center" vertical="center" wrapText="1"/>
      <protection/>
    </xf>
    <xf numFmtId="176" fontId="25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7" xfId="5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textRotation="90" wrapText="1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2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horizontal="center" vertical="center" wrapText="1"/>
      <protection locked="0"/>
    </xf>
    <xf numFmtId="0" fontId="2" fillId="0" borderId="0" xfId="54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left" indent="2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horizontal="center" vertical="center"/>
      <protection/>
    </xf>
    <xf numFmtId="0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vertical="center" wrapText="1"/>
      <protection/>
    </xf>
    <xf numFmtId="0" fontId="4" fillId="0" borderId="11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1" fontId="4" fillId="35" borderId="11" xfId="0" applyNumberFormat="1" applyFont="1" applyFill="1" applyBorder="1" applyAlignment="1" applyProtection="1">
      <alignment horizontal="center" vertical="center" wrapText="1"/>
      <protection/>
    </xf>
    <xf numFmtId="173" fontId="9" fillId="38" borderId="14" xfId="54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/>
      <protection/>
    </xf>
    <xf numFmtId="173" fontId="25" fillId="33" borderId="11" xfId="0" applyNumberFormat="1" applyFont="1" applyFill="1" applyBorder="1" applyAlignment="1" applyProtection="1">
      <alignment horizontal="center" vertical="center" wrapText="1"/>
      <protection/>
    </xf>
    <xf numFmtId="173" fontId="4" fillId="0" borderId="12" xfId="0" applyNumberFormat="1" applyFont="1" applyFill="1" applyBorder="1" applyAlignment="1" applyProtection="1">
      <alignment horizontal="center" vertical="center" wrapText="1"/>
      <protection/>
    </xf>
    <xf numFmtId="173" fontId="4" fillId="0" borderId="17" xfId="0" applyNumberFormat="1" applyFont="1" applyFill="1" applyBorder="1" applyAlignment="1" applyProtection="1">
      <alignment horizontal="center" vertical="center" wrapText="1"/>
      <protection/>
    </xf>
    <xf numFmtId="175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52" applyFont="1">
      <alignment/>
      <protection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29" fillId="0" borderId="0" xfId="52" applyFont="1" applyFill="1">
      <alignment/>
      <protection/>
    </xf>
    <xf numFmtId="0" fontId="26" fillId="0" borderId="0" xfId="52" applyFont="1">
      <alignment/>
      <protection/>
    </xf>
    <xf numFmtId="0" fontId="4" fillId="0" borderId="0" xfId="52" applyFont="1" applyFill="1">
      <alignment/>
      <protection/>
    </xf>
    <xf numFmtId="0" fontId="4" fillId="0" borderId="0" xfId="52" applyFont="1">
      <alignment/>
      <protection/>
    </xf>
    <xf numFmtId="0" fontId="30" fillId="0" borderId="0" xfId="52" applyFont="1">
      <alignment/>
      <protection/>
    </xf>
    <xf numFmtId="0" fontId="26" fillId="0" borderId="0" xfId="52" applyFont="1" applyAlignment="1">
      <alignment horizontal="right"/>
      <protection/>
    </xf>
    <xf numFmtId="173" fontId="12" fillId="0" borderId="11" xfId="52" applyNumberFormat="1" applyFont="1" applyBorder="1" applyAlignment="1">
      <alignment horizontal="center"/>
      <protection/>
    </xf>
    <xf numFmtId="0" fontId="28" fillId="0" borderId="0" xfId="52" applyFont="1">
      <alignment/>
      <protection/>
    </xf>
    <xf numFmtId="0" fontId="28" fillId="0" borderId="0" xfId="52" applyFont="1" applyAlignment="1">
      <alignment horizontal="left" vertical="center" indent="1"/>
      <protection/>
    </xf>
    <xf numFmtId="0" fontId="0" fillId="0" borderId="0" xfId="52" applyFill="1" applyBorder="1">
      <alignment/>
      <protection/>
    </xf>
    <xf numFmtId="0" fontId="12" fillId="0" borderId="0" xfId="52" applyFont="1">
      <alignment/>
      <protection/>
    </xf>
    <xf numFmtId="0" fontId="32" fillId="0" borderId="0" xfId="52" applyFont="1" applyAlignment="1">
      <alignment horizontal="right"/>
      <protection/>
    </xf>
    <xf numFmtId="0" fontId="0" fillId="0" borderId="0" xfId="52" applyFont="1">
      <alignment/>
      <protection/>
    </xf>
    <xf numFmtId="0" fontId="18" fillId="0" borderId="0" xfId="52" applyFont="1" applyAlignment="1">
      <alignment horizontal="left" vertical="center" indent="1"/>
      <protection/>
    </xf>
    <xf numFmtId="0" fontId="11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33" fillId="0" borderId="0" xfId="52" applyFont="1" applyAlignment="1">
      <alignment horizontal="center"/>
      <protection/>
    </xf>
    <xf numFmtId="0" fontId="31" fillId="0" borderId="0" xfId="52" applyFont="1">
      <alignment/>
      <protection/>
    </xf>
    <xf numFmtId="0" fontId="0" fillId="0" borderId="0" xfId="52" applyNumberFormat="1">
      <alignment/>
      <protection/>
    </xf>
    <xf numFmtId="175" fontId="25" fillId="39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2" applyAlignment="1">
      <alignment horizontal="justify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90" fillId="0" borderId="0" xfId="0" applyNumberFormat="1" applyFont="1" applyAlignment="1" applyProtection="1">
      <alignment horizontal="center" vertical="center"/>
      <protection/>
    </xf>
    <xf numFmtId="0" fontId="90" fillId="0" borderId="0" xfId="0" applyNumberFormat="1" applyFont="1" applyAlignment="1" applyProtection="1">
      <alignment horizontal="left" vertical="center"/>
      <protection/>
    </xf>
    <xf numFmtId="0" fontId="3" fillId="40" borderId="0" xfId="0" applyFont="1" applyFill="1" applyAlignment="1" applyProtection="1">
      <alignment horizontal="center" vertical="center" textRotation="90" wrapText="1"/>
      <protection/>
    </xf>
    <xf numFmtId="0" fontId="2" fillId="40" borderId="0" xfId="0" applyFont="1" applyFill="1" applyAlignment="1" applyProtection="1">
      <alignment horizontal="center" vertical="center" textRotation="90" wrapText="1"/>
      <protection/>
    </xf>
    <xf numFmtId="0" fontId="3" fillId="40" borderId="0" xfId="0" applyFont="1" applyFill="1" applyAlignment="1" applyProtection="1">
      <alignment horizontal="center" vertical="center" wrapText="1"/>
      <protection/>
    </xf>
    <xf numFmtId="0" fontId="20" fillId="4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Alignment="1">
      <alignment horizontal="justify" vertical="center"/>
      <protection/>
    </xf>
    <xf numFmtId="0" fontId="25" fillId="0" borderId="0" xfId="52" applyFont="1">
      <alignment/>
      <protection/>
    </xf>
    <xf numFmtId="0" fontId="4" fillId="0" borderId="0" xfId="52" applyFont="1" applyAlignment="1">
      <alignment horizontal="left" indent="3"/>
      <protection/>
    </xf>
    <xf numFmtId="0" fontId="18" fillId="0" borderId="0" xfId="52" applyFont="1" applyAlignment="1">
      <alignment horizontal="left" indent="3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" fillId="41" borderId="0" xfId="54" applyNumberFormat="1" applyFont="1" applyFill="1" applyBorder="1" applyAlignment="1" applyProtection="1">
      <alignment horizontal="left" vertical="center"/>
      <protection/>
    </xf>
    <xf numFmtId="174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54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horizontal="center" vertical="center" wrapText="1"/>
      <protection/>
    </xf>
    <xf numFmtId="0" fontId="32" fillId="0" borderId="11" xfId="54" applyNumberFormat="1" applyFont="1" applyFill="1" applyBorder="1" applyAlignment="1" applyProtection="1">
      <alignment horizontal="left" vertical="center" wrapText="1" indent="2"/>
      <protection/>
    </xf>
    <xf numFmtId="0" fontId="32" fillId="42" borderId="11" xfId="54" applyNumberFormat="1" applyFont="1" applyFill="1" applyBorder="1" applyAlignment="1" applyProtection="1">
      <alignment horizontal="left" vertical="center" wrapText="1" indent="2"/>
      <protection/>
    </xf>
    <xf numFmtId="0" fontId="32" fillId="42" borderId="11" xfId="54" applyNumberFormat="1" applyFont="1" applyFill="1" applyBorder="1" applyAlignment="1" applyProtection="1">
      <alignment horizontal="left" vertical="center" wrapText="1"/>
      <protection/>
    </xf>
    <xf numFmtId="0" fontId="32" fillId="42" borderId="17" xfId="54" applyNumberFormat="1" applyFont="1" applyFill="1" applyBorder="1" applyAlignment="1" applyProtection="1">
      <alignment horizontal="left" vertical="center"/>
      <protection/>
    </xf>
    <xf numFmtId="0" fontId="32" fillId="0" borderId="11" xfId="54" applyNumberFormat="1" applyFont="1" applyFill="1" applyBorder="1" applyAlignment="1" applyProtection="1">
      <alignment horizontal="left" vertical="center" wrapText="1"/>
      <protection/>
    </xf>
    <xf numFmtId="0" fontId="32" fillId="0" borderId="17" xfId="54" applyNumberFormat="1" applyFont="1" applyFill="1" applyBorder="1" applyAlignment="1" applyProtection="1">
      <alignment horizontal="left" vertical="center"/>
      <protection/>
    </xf>
    <xf numFmtId="0" fontId="3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center"/>
      <protection/>
    </xf>
    <xf numFmtId="176" fontId="9" fillId="43" borderId="11" xfId="54" applyNumberFormat="1" applyFont="1" applyFill="1" applyBorder="1" applyAlignment="1" applyProtection="1">
      <alignment horizontal="center" vertical="center" wrapText="1"/>
      <protection/>
    </xf>
    <xf numFmtId="0" fontId="4" fillId="43" borderId="11" xfId="0" applyNumberFormat="1" applyFont="1" applyFill="1" applyBorder="1" applyAlignment="1" applyProtection="1">
      <alignment horizontal="center" vertical="center" wrapText="1"/>
      <protection/>
    </xf>
    <xf numFmtId="0" fontId="9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2" applyFont="1" applyAlignment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175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 indent="5"/>
      <protection/>
    </xf>
    <xf numFmtId="0" fontId="11" fillId="0" borderId="0" xfId="0" applyNumberFormat="1" applyFont="1" applyBorder="1" applyAlignment="1" applyProtection="1">
      <alignment horizontal="left" vertical="center" indent="5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 inden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/>
    </xf>
    <xf numFmtId="0" fontId="93" fillId="0" borderId="0" xfId="0" applyNumberFormat="1" applyFont="1" applyAlignment="1" applyProtection="1">
      <alignment/>
      <protection/>
    </xf>
    <xf numFmtId="0" fontId="94" fillId="0" borderId="0" xfId="0" applyNumberFormat="1" applyFont="1" applyAlignment="1" applyProtection="1">
      <alignment/>
      <protection/>
    </xf>
    <xf numFmtId="0" fontId="95" fillId="0" borderId="0" xfId="54" applyNumberFormat="1" applyFont="1" applyFill="1" applyAlignment="1" applyProtection="1">
      <alignment horizontal="left" vertical="center"/>
      <protection/>
    </xf>
    <xf numFmtId="0" fontId="96" fillId="0" borderId="0" xfId="0" applyNumberFormat="1" applyFont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54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0" xfId="54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8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wrapText="1"/>
      <protection/>
    </xf>
    <xf numFmtId="0" fontId="97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/>
      <protection/>
    </xf>
    <xf numFmtId="0" fontId="2" fillId="44" borderId="0" xfId="0" applyNumberFormat="1" applyFont="1" applyFill="1" applyBorder="1" applyAlignment="1" applyProtection="1">
      <alignment horizontal="left" vertical="center" wrapText="1"/>
      <protection/>
    </xf>
    <xf numFmtId="0" fontId="0" fillId="44" borderId="0" xfId="0" applyNumberFormat="1" applyFont="1" applyFill="1" applyBorder="1" applyAlignment="1" applyProtection="1">
      <alignment horizontal="left" vertical="center" wrapText="1"/>
      <protection/>
    </xf>
    <xf numFmtId="0" fontId="10" fillId="44" borderId="0" xfId="0" applyNumberFormat="1" applyFont="1" applyFill="1" applyBorder="1" applyAlignment="1" applyProtection="1">
      <alignment horizontal="left" vertical="center" wrapText="1"/>
      <protection/>
    </xf>
    <xf numFmtId="0" fontId="4" fillId="44" borderId="11" xfId="0" applyFont="1" applyFill="1" applyBorder="1" applyAlignment="1" applyProtection="1">
      <alignment horizontal="center" vertical="center" wrapText="1"/>
      <protection/>
    </xf>
    <xf numFmtId="0" fontId="4" fillId="44" borderId="11" xfId="0" applyNumberFormat="1" applyFont="1" applyFill="1" applyBorder="1" applyAlignment="1" applyProtection="1">
      <alignment horizontal="center" vertical="center" wrapText="1"/>
      <protection/>
    </xf>
    <xf numFmtId="0" fontId="4" fillId="44" borderId="0" xfId="0" applyNumberFormat="1" applyFont="1" applyFill="1" applyBorder="1" applyAlignment="1" applyProtection="1">
      <alignment horizontal="center" vertical="center" wrapText="1"/>
      <protection/>
    </xf>
    <xf numFmtId="0" fontId="4" fillId="44" borderId="19" xfId="0" applyNumberFormat="1" applyFont="1" applyFill="1" applyBorder="1" applyAlignment="1" applyProtection="1">
      <alignment horizontal="center" vertical="center" wrapText="1"/>
      <protection/>
    </xf>
    <xf numFmtId="0" fontId="11" fillId="44" borderId="0" xfId="0" applyNumberFormat="1" applyFont="1" applyFill="1" applyBorder="1" applyAlignment="1" applyProtection="1">
      <alignment horizontal="center" vertical="center" wrapText="1"/>
      <protection/>
    </xf>
    <xf numFmtId="0" fontId="11" fillId="44" borderId="0" xfId="0" applyNumberFormat="1" applyFont="1" applyFill="1" applyBorder="1" applyAlignment="1" applyProtection="1">
      <alignment horizontal="left" vertical="center" wrapText="1"/>
      <protection/>
    </xf>
    <xf numFmtId="0" fontId="0" fillId="44" borderId="0" xfId="0" applyNumberFormat="1" applyFill="1" applyBorder="1" applyAlignment="1" applyProtection="1">
      <alignment/>
      <protection/>
    </xf>
    <xf numFmtId="0" fontId="2" fillId="44" borderId="0" xfId="0" applyFont="1" applyFill="1" applyAlignment="1" applyProtection="1">
      <alignment horizontal="center" vertical="center" wrapText="1"/>
      <protection/>
    </xf>
    <xf numFmtId="0" fontId="2" fillId="44" borderId="11" xfId="0" applyFont="1" applyFill="1" applyBorder="1" applyAlignment="1" applyProtection="1">
      <alignment horizontal="center" vertical="center" wrapText="1"/>
      <protection/>
    </xf>
    <xf numFmtId="0" fontId="4" fillId="44" borderId="0" xfId="0" applyNumberFormat="1" applyFont="1" applyFill="1" applyBorder="1" applyAlignment="1" applyProtection="1">
      <alignment horizontal="center" vertical="center"/>
      <protection/>
    </xf>
    <xf numFmtId="0" fontId="10" fillId="44" borderId="0" xfId="0" applyNumberFormat="1" applyFont="1" applyFill="1" applyBorder="1" applyAlignment="1" applyProtection="1">
      <alignment horizontal="center" vertical="center"/>
      <protection/>
    </xf>
    <xf numFmtId="0" fontId="2" fillId="44" borderId="0" xfId="0" applyFont="1" applyFill="1" applyAlignment="1" applyProtection="1">
      <alignment horizontal="center" vertical="center"/>
      <protection/>
    </xf>
    <xf numFmtId="0" fontId="4" fillId="44" borderId="0" xfId="0" applyFont="1" applyFill="1" applyAlignment="1" applyProtection="1">
      <alignment horizontal="center" vertical="center" wrapText="1"/>
      <protection/>
    </xf>
    <xf numFmtId="0" fontId="2" fillId="44" borderId="0" xfId="0" applyFont="1" applyFill="1" applyAlignment="1" applyProtection="1">
      <alignment horizontal="center" vertical="center" wrapText="1"/>
      <protection/>
    </xf>
    <xf numFmtId="2" fontId="4" fillId="44" borderId="0" xfId="0" applyNumberFormat="1" applyFont="1" applyFill="1" applyAlignment="1" applyProtection="1">
      <alignment horizontal="center" vertical="center" wrapText="1"/>
      <protection/>
    </xf>
    <xf numFmtId="0" fontId="2" fillId="44" borderId="11" xfId="0" applyFont="1" applyFill="1" applyBorder="1" applyAlignment="1" applyProtection="1">
      <alignment horizontal="center" vertical="center" wrapText="1"/>
      <protection/>
    </xf>
    <xf numFmtId="0" fontId="4" fillId="44" borderId="0" xfId="0" applyFont="1" applyFill="1" applyBorder="1" applyAlignment="1" applyProtection="1">
      <alignment horizontal="center" vertical="center" wrapText="1"/>
      <protection/>
    </xf>
    <xf numFmtId="0" fontId="2" fillId="44" borderId="0" xfId="0" applyFont="1" applyFill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0" fillId="44" borderId="11" xfId="0" applyNumberFormat="1" applyFont="1" applyFill="1" applyBorder="1" applyAlignment="1" applyProtection="1">
      <alignment horizontal="center" vertical="center"/>
      <protection/>
    </xf>
    <xf numFmtId="0" fontId="4" fillId="37" borderId="13" xfId="0" applyNumberFormat="1" applyFont="1" applyFill="1" applyBorder="1" applyAlignment="1" applyProtection="1">
      <alignment horizontal="left" vertical="center"/>
      <protection/>
    </xf>
    <xf numFmtId="0" fontId="0" fillId="0" borderId="11" xfId="52" applyBorder="1" applyAlignment="1">
      <alignment horizontal="center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12" fillId="0" borderId="0" xfId="52" applyFont="1" applyAlignment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52" applyFont="1">
      <alignment/>
      <protection/>
    </xf>
    <xf numFmtId="0" fontId="18" fillId="0" borderId="0" xfId="52" applyFont="1" applyAlignment="1">
      <alignment horizontal="right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0" fillId="0" borderId="0" xfId="52" applyAlignment="1">
      <alignment horizontal="left" indent="3"/>
      <protection/>
    </xf>
    <xf numFmtId="0" fontId="31" fillId="0" borderId="0" xfId="52" applyFont="1" applyAlignment="1">
      <alignment horizontal="right"/>
      <protection/>
    </xf>
    <xf numFmtId="0" fontId="0" fillId="0" borderId="11" xfId="52" applyFont="1" applyBorder="1" applyAlignment="1">
      <alignment horizontal="center"/>
      <protection/>
    </xf>
    <xf numFmtId="0" fontId="0" fillId="0" borderId="0" xfId="52" applyAlignment="1">
      <alignment horizontal="left"/>
      <protection/>
    </xf>
    <xf numFmtId="0" fontId="0" fillId="0" borderId="0" xfId="52" applyFont="1" applyAlignment="1">
      <alignment horizontal="left" indent="2"/>
      <protection/>
    </xf>
    <xf numFmtId="0" fontId="18" fillId="0" borderId="0" xfId="52" applyFont="1" applyAlignment="1">
      <alignment horizontal="left" indent="2"/>
      <protection/>
    </xf>
    <xf numFmtId="0" fontId="0" fillId="0" borderId="0" xfId="52" applyAlignment="1">
      <alignment horizontal="left" indent="2"/>
      <protection/>
    </xf>
    <xf numFmtId="0" fontId="4" fillId="0" borderId="0" xfId="52" applyFont="1" applyAlignment="1">
      <alignment horizontal="left" indent="1"/>
      <protection/>
    </xf>
    <xf numFmtId="0" fontId="31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2" fillId="0" borderId="0" xfId="52" applyFont="1" applyAlignment="1">
      <alignment wrapText="1"/>
      <protection/>
    </xf>
    <xf numFmtId="0" fontId="0" fillId="0" borderId="0" xfId="52" applyAlignment="1">
      <alignment wrapText="1"/>
      <protection/>
    </xf>
    <xf numFmtId="175" fontId="0" fillId="0" borderId="11" xfId="52" applyNumberFormat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175" fontId="0" fillId="0" borderId="11" xfId="52" applyNumberFormat="1" applyFont="1" applyBorder="1" applyAlignment="1">
      <alignment horizontal="center"/>
      <protection/>
    </xf>
    <xf numFmtId="175" fontId="0" fillId="0" borderId="11" xfId="52" applyNumberFormat="1" applyBorder="1" applyAlignment="1">
      <alignment horizontal="center"/>
      <protection/>
    </xf>
    <xf numFmtId="175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3" fillId="0" borderId="0" xfId="0" applyFont="1" applyFill="1" applyAlignment="1" applyProtection="1">
      <alignment horizontal="left" vertical="center" wrapText="1"/>
      <protection/>
    </xf>
    <xf numFmtId="0" fontId="94" fillId="0" borderId="0" xfId="0" applyFont="1" applyFill="1" applyAlignment="1" applyProtection="1">
      <alignment horizontal="left" vertical="center"/>
      <protection/>
    </xf>
    <xf numFmtId="0" fontId="94" fillId="0" borderId="0" xfId="0" applyFont="1" applyFill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57" applyFont="1" applyFill="1" applyBorder="1" applyAlignment="1" applyProtection="1">
      <alignment horizontal="center" vertical="center"/>
      <protection locked="0"/>
    </xf>
    <xf numFmtId="17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4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17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44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0" xfId="0" applyNumberFormat="1" applyFill="1" applyAlignment="1" applyProtection="1">
      <alignment/>
      <protection locked="0"/>
    </xf>
    <xf numFmtId="0" fontId="4" fillId="0" borderId="11" xfId="0" applyFont="1" applyFill="1" applyBorder="1" applyAlignment="1" applyProtection="1" quotePrefix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3" fontId="9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98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0" xfId="0" applyNumberForma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2" fontId="9" fillId="0" borderId="21" xfId="54" applyNumberFormat="1" applyFont="1" applyFill="1" applyBorder="1" applyAlignment="1" applyProtection="1">
      <alignment horizontal="center" vertical="center" wrapText="1"/>
      <protection locked="0"/>
    </xf>
    <xf numFmtId="173" fontId="2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11" xfId="54" applyNumberFormat="1" applyFont="1" applyFill="1" applyBorder="1" applyAlignment="1" applyProtection="1">
      <alignment horizontal="center" vertical="center" wrapText="1"/>
      <protection locked="0"/>
    </xf>
    <xf numFmtId="0" fontId="4" fillId="45" borderId="11" xfId="0" applyFont="1" applyFill="1" applyBorder="1" applyAlignment="1" applyProtection="1">
      <alignment horizontal="center" vertical="center" wrapText="1"/>
      <protection locked="0"/>
    </xf>
    <xf numFmtId="173" fontId="9" fillId="43" borderId="21" xfId="54" applyNumberFormat="1" applyFont="1" applyFill="1" applyBorder="1" applyAlignment="1" applyProtection="1">
      <alignment horizontal="center" vertical="center" wrapText="1"/>
      <protection locked="0"/>
    </xf>
    <xf numFmtId="173" fontId="9" fillId="38" borderId="21" xfId="54" applyNumberFormat="1" applyFont="1" applyFill="1" applyBorder="1" applyAlignment="1" applyProtection="1">
      <alignment horizontal="center" vertical="center" wrapText="1"/>
      <protection locked="0"/>
    </xf>
    <xf numFmtId="2" fontId="9" fillId="43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98" fillId="46" borderId="0" xfId="0" applyFont="1" applyFill="1" applyAlignment="1" applyProtection="1">
      <alignment horizontal="center"/>
      <protection locked="0"/>
    </xf>
    <xf numFmtId="0" fontId="4" fillId="40" borderId="22" xfId="0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Alignment="1" applyProtection="1">
      <alignment/>
      <protection locked="0"/>
    </xf>
    <xf numFmtId="173" fontId="9" fillId="43" borderId="17" xfId="54" applyNumberFormat="1" applyFont="1" applyFill="1" applyBorder="1" applyAlignment="1" applyProtection="1">
      <alignment horizontal="center" vertical="center"/>
      <protection locked="0"/>
    </xf>
    <xf numFmtId="0" fontId="4" fillId="4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1" xfId="0" applyNumberFormat="1" applyBorder="1" applyAlignment="1" applyProtection="1">
      <alignment horizontal="center" vertical="center"/>
      <protection locked="0"/>
    </xf>
    <xf numFmtId="173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44" borderId="0" xfId="0" applyNumberFormat="1" applyFill="1" applyAlignment="1" applyProtection="1">
      <alignment/>
      <protection/>
    </xf>
    <xf numFmtId="175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Fill="1">
      <alignment/>
      <protection/>
    </xf>
    <xf numFmtId="175" fontId="9" fillId="0" borderId="14" xfId="54" applyNumberFormat="1" applyFont="1" applyFill="1" applyBorder="1" applyAlignment="1" applyProtection="1">
      <alignment horizontal="center" vertical="center" wrapText="1"/>
      <protection/>
    </xf>
    <xf numFmtId="173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4" applyNumberFormat="1" applyFont="1" applyFill="1" applyBorder="1" applyAlignment="1" applyProtection="1">
      <alignment horizontal="center" vertical="center" wrapText="1"/>
      <protection/>
    </xf>
    <xf numFmtId="0" fontId="9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left" vertical="center" wrapText="1"/>
      <protection/>
    </xf>
    <xf numFmtId="175" fontId="9" fillId="0" borderId="11" xfId="54" applyNumberFormat="1" applyFont="1" applyFill="1" applyBorder="1" applyAlignment="1" applyProtection="1">
      <alignment horizontal="center" vertical="center" wrapText="1"/>
      <protection/>
    </xf>
    <xf numFmtId="173" fontId="9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54" applyNumberFormat="1" applyFont="1" applyFill="1" applyBorder="1" applyAlignment="1" applyProtection="1">
      <alignment horizontal="center" vertical="center"/>
      <protection/>
    </xf>
    <xf numFmtId="173" fontId="9" fillId="0" borderId="14" xfId="54" applyNumberFormat="1" applyFont="1" applyFill="1" applyBorder="1" applyAlignment="1" applyProtection="1">
      <alignment horizontal="center" vertical="center" wrapText="1"/>
      <protection/>
    </xf>
    <xf numFmtId="176" fontId="9" fillId="0" borderId="17" xfId="54" applyNumberFormat="1" applyFont="1" applyFill="1" applyBorder="1" applyAlignment="1" applyProtection="1">
      <alignment horizontal="center" vertical="center"/>
      <protection/>
    </xf>
    <xf numFmtId="0" fontId="9" fillId="0" borderId="14" xfId="54" applyNumberFormat="1" applyFont="1" applyFill="1" applyBorder="1" applyAlignment="1" applyProtection="1">
      <alignment horizontal="center" vertical="center" wrapText="1"/>
      <protection/>
    </xf>
    <xf numFmtId="176" fontId="9" fillId="0" borderId="13" xfId="54" applyNumberFormat="1" applyFont="1" applyFill="1" applyBorder="1" applyAlignment="1" applyProtection="1">
      <alignment horizontal="center" vertical="center" wrapText="1"/>
      <protection/>
    </xf>
    <xf numFmtId="176" fontId="9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3" xfId="0" applyNumberFormat="1" applyFont="1" applyFill="1" applyBorder="1" applyAlignment="1" applyProtection="1">
      <alignment horizontal="left" vertical="center"/>
      <protection locked="0"/>
    </xf>
    <xf numFmtId="0" fontId="11" fillId="37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9" fillId="0" borderId="0" xfId="52" applyFont="1" applyFill="1" applyAlignment="1" applyProtection="1">
      <alignment/>
      <protection locked="0"/>
    </xf>
    <xf numFmtId="0" fontId="8" fillId="0" borderId="0" xfId="52" applyFont="1" applyFill="1" applyAlignment="1" applyProtection="1">
      <alignment/>
      <protection locked="0"/>
    </xf>
    <xf numFmtId="0" fontId="0" fillId="0" borderId="0" xfId="52" applyFont="1" applyFill="1" applyAlignment="1">
      <alignment/>
      <protection/>
    </xf>
    <xf numFmtId="0" fontId="0" fillId="0" borderId="0" xfId="52" applyFont="1" applyFill="1" applyAlignment="1" applyProtection="1">
      <alignment/>
      <protection/>
    </xf>
    <xf numFmtId="0" fontId="2" fillId="0" borderId="0" xfId="52" applyFont="1" applyFill="1" applyAlignment="1" applyProtection="1">
      <alignment/>
      <protection/>
    </xf>
    <xf numFmtId="0" fontId="3" fillId="0" borderId="0" xfId="52" applyFont="1" applyFill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horizontal="center" vertical="center"/>
      <protection locked="0"/>
    </xf>
    <xf numFmtId="0" fontId="12" fillId="0" borderId="0" xfId="52" applyFont="1" applyFill="1" applyAlignment="1" applyProtection="1">
      <alignment horizontal="center" vertical="center"/>
      <protection locked="0"/>
    </xf>
    <xf numFmtId="0" fontId="2" fillId="0" borderId="0" xfId="52" applyFont="1" applyFill="1" applyAlignment="1" applyProtection="1">
      <alignment horizontal="center" vertical="center"/>
      <protection locked="0"/>
    </xf>
    <xf numFmtId="0" fontId="40" fillId="0" borderId="0" xfId="52" applyFont="1" applyFill="1" applyAlignment="1" applyProtection="1">
      <alignment horizontal="center" vertical="center"/>
      <protection/>
    </xf>
    <xf numFmtId="0" fontId="41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Protection="1">
      <alignment/>
      <protection/>
    </xf>
    <xf numFmtId="0" fontId="9" fillId="0" borderId="11" xfId="52" applyFont="1" applyFill="1" applyBorder="1" applyAlignment="1" applyProtection="1">
      <alignment horizontal="center" vertical="center" wrapText="1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0" fillId="0" borderId="11" xfId="52" applyFont="1" applyFill="1" applyBorder="1" applyAlignment="1" applyProtection="1">
      <alignment wrapText="1"/>
      <protection locked="0"/>
    </xf>
    <xf numFmtId="176" fontId="3" fillId="0" borderId="11" xfId="52" applyNumberFormat="1" applyFont="1" applyFill="1" applyBorder="1" applyAlignment="1" applyProtection="1">
      <alignment horizontal="center" vertical="center" wrapText="1"/>
      <protection locked="0"/>
    </xf>
    <xf numFmtId="175" fontId="3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Fill="1" applyBorder="1" applyAlignment="1" applyProtection="1">
      <alignment horizontal="center" vertical="center" wrapText="1"/>
      <protection locked="0"/>
    </xf>
    <xf numFmtId="0" fontId="4" fillId="37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37" borderId="11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44" borderId="19" xfId="0" applyFont="1" applyFill="1" applyBorder="1" applyAlignment="1" applyProtection="1">
      <alignment horizontal="center" vertical="center"/>
      <protection/>
    </xf>
    <xf numFmtId="0" fontId="0" fillId="44" borderId="19" xfId="0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10" fillId="0" borderId="10" xfId="54" applyNumberFormat="1" applyFont="1" applyFill="1" applyBorder="1" applyAlignment="1" applyProtection="1">
      <alignment horizontal="left" vertical="center" wrapText="1"/>
      <protection/>
    </xf>
    <xf numFmtId="0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35" borderId="13" xfId="0" applyNumberFormat="1" applyFont="1" applyFill="1" applyBorder="1" applyAlignment="1" applyProtection="1">
      <alignment horizontal="center" vertical="center"/>
      <protection/>
    </xf>
    <xf numFmtId="0" fontId="4" fillId="35" borderId="16" xfId="0" applyNumberFormat="1" applyFont="1" applyFill="1" applyBorder="1" applyAlignment="1" applyProtection="1">
      <alignment horizontal="center" vertical="center"/>
      <protection/>
    </xf>
    <xf numFmtId="0" fontId="4" fillId="35" borderId="14" xfId="0" applyNumberFormat="1" applyFont="1" applyFill="1" applyBorder="1" applyAlignment="1" applyProtection="1">
      <alignment horizontal="center" vertical="center"/>
      <protection/>
    </xf>
    <xf numFmtId="0" fontId="4" fillId="0" borderId="20" xfId="54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 applyProtection="1">
      <alignment horizontal="center" vertical="center" wrapText="1"/>
      <protection/>
    </xf>
    <xf numFmtId="0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6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4" xfId="0" applyFont="1" applyBorder="1" applyAlignment="1" applyProtection="1">
      <alignment horizontal="left" vertical="center" wrapText="1" indent="2"/>
      <protection/>
    </xf>
    <xf numFmtId="0" fontId="9" fillId="0" borderId="20" xfId="52" applyFont="1" applyFill="1" applyBorder="1" applyAlignment="1" applyProtection="1">
      <alignment horizontal="center" vertical="center" wrapText="1"/>
      <protection/>
    </xf>
    <xf numFmtId="0" fontId="9" fillId="0" borderId="22" xfId="52" applyFont="1" applyFill="1" applyBorder="1" applyAlignment="1" applyProtection="1">
      <alignment horizontal="center" vertical="center" wrapText="1"/>
      <protection/>
    </xf>
    <xf numFmtId="0" fontId="9" fillId="0" borderId="13" xfId="52" applyFont="1" applyFill="1" applyBorder="1" applyAlignment="1" applyProtection="1">
      <alignment horizontal="center" vertical="center" wrapText="1"/>
      <protection/>
    </xf>
    <xf numFmtId="0" fontId="9" fillId="0" borderId="16" xfId="52" applyFont="1" applyFill="1" applyBorder="1" applyAlignment="1" applyProtection="1">
      <alignment horizontal="center" vertical="center" wrapText="1"/>
      <protection/>
    </xf>
    <xf numFmtId="0" fontId="9" fillId="0" borderId="14" xfId="52" applyFont="1" applyFill="1" applyBorder="1" applyAlignment="1" applyProtection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0" fillId="0" borderId="16" xfId="52" applyBorder="1" applyAlignment="1">
      <alignment horizontal="center" vertical="center" wrapText="1"/>
      <protection/>
    </xf>
    <xf numFmtId="0" fontId="0" fillId="0" borderId="14" xfId="52" applyBorder="1" applyAlignment="1">
      <alignment horizontal="center" vertical="center" wrapText="1"/>
      <protection/>
    </xf>
    <xf numFmtId="0" fontId="0" fillId="0" borderId="13" xfId="52" applyBorder="1" applyAlignment="1">
      <alignment horizontal="left" vertical="center" wrapText="1" indent="1"/>
      <protection/>
    </xf>
    <xf numFmtId="0" fontId="0" fillId="0" borderId="16" xfId="52" applyBorder="1" applyAlignment="1">
      <alignment horizontal="left" vertical="center" wrapText="1" indent="1"/>
      <protection/>
    </xf>
    <xf numFmtId="0" fontId="0" fillId="0" borderId="14" xfId="52" applyBorder="1" applyAlignment="1">
      <alignment horizontal="left" vertical="center" wrapText="1" indent="1"/>
      <protection/>
    </xf>
    <xf numFmtId="0" fontId="0" fillId="0" borderId="13" xfId="52" applyFont="1" applyBorder="1" applyAlignment="1">
      <alignment horizontal="left" vertical="center" wrapText="1" indent="1"/>
      <protection/>
    </xf>
    <xf numFmtId="0" fontId="0" fillId="0" borderId="16" xfId="52" applyFont="1" applyBorder="1" applyAlignment="1">
      <alignment horizontal="left" vertical="center" wrapText="1" indent="1"/>
      <protection/>
    </xf>
    <xf numFmtId="0" fontId="0" fillId="0" borderId="14" xfId="52" applyFont="1" applyBorder="1" applyAlignment="1">
      <alignment horizontal="left" vertical="center" wrapText="1" indent="1"/>
      <protection/>
    </xf>
    <xf numFmtId="0" fontId="0" fillId="0" borderId="10" xfId="52" applyNumberFormat="1" applyBorder="1" applyAlignment="1">
      <alignment horizontal="justify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32" fillId="0" borderId="0" xfId="52" applyFont="1" applyAlignment="1">
      <alignment horizontal="center" vertical="center" wrapText="1"/>
      <protection/>
    </xf>
    <xf numFmtId="0" fontId="0" fillId="0" borderId="0" xfId="52" applyAlignment="1">
      <alignment horizontal="left" vertical="center" wrapText="1" indent="1"/>
      <protection/>
    </xf>
    <xf numFmtId="0" fontId="32" fillId="0" borderId="0" xfId="52" applyFont="1" applyAlignment="1">
      <alignment horizont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8" fillId="0" borderId="11" xfId="0" applyNumberFormat="1" applyFont="1" applyBorder="1" applyAlignment="1" applyProtection="1">
      <alignment horizontal="center" vertical="center" wrapText="1"/>
      <protection locked="0"/>
    </xf>
    <xf numFmtId="175" fontId="98" fillId="0" borderId="11" xfId="0" applyNumberFormat="1" applyFont="1" applyBorder="1" applyAlignment="1" applyProtection="1">
      <alignment horizontal="center" vertical="center" wrapText="1"/>
      <protection locked="0"/>
    </xf>
    <xf numFmtId="0" fontId="98" fillId="0" borderId="11" xfId="0" applyNumberFormat="1" applyFont="1" applyBorder="1" applyAlignment="1" applyProtection="1">
      <alignment horizontal="center" vertical="center" wrapText="1"/>
      <protection/>
    </xf>
    <xf numFmtId="1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00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0" fontId="101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Alignment="1" applyProtection="1">
      <alignment vertical="top"/>
      <protection locked="0"/>
    </xf>
    <xf numFmtId="0" fontId="102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90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 horizontal="center" vertical="center" textRotation="90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textRotation="90" wrapText="1"/>
    </xf>
    <xf numFmtId="0" fontId="0" fillId="0" borderId="44" xfId="0" applyFill="1" applyBorder="1" applyAlignment="1">
      <alignment horizontal="center" vertical="center" textRotation="90" wrapText="1"/>
    </xf>
    <xf numFmtId="0" fontId="103" fillId="0" borderId="45" xfId="0" applyFont="1" applyFill="1" applyBorder="1" applyAlignment="1">
      <alignment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0" fillId="0" borderId="0" xfId="0" applyFont="1" applyFill="1" applyAlignment="1">
      <alignment horizontal="left" vertical="top" wrapText="1"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100" fillId="0" borderId="42" xfId="0" applyFont="1" applyFill="1" applyBorder="1" applyAlignment="1">
      <alignment horizontal="center" vertical="center" wrapText="1"/>
    </xf>
    <xf numFmtId="0" fontId="104" fillId="0" borderId="38" xfId="0" applyFont="1" applyFill="1" applyBorder="1" applyAlignment="1">
      <alignment horizontal="center" vertical="center"/>
    </xf>
    <xf numFmtId="0" fontId="105" fillId="0" borderId="38" xfId="0" applyFont="1" applyFill="1" applyBorder="1" applyAlignment="1">
      <alignment horizontal="center" vertical="center"/>
    </xf>
    <xf numFmtId="0" fontId="100" fillId="0" borderId="0" xfId="0" applyFont="1" applyFill="1" applyAlignment="1">
      <alignment horizontal="left" vertical="top"/>
    </xf>
    <xf numFmtId="0" fontId="100" fillId="0" borderId="42" xfId="0" applyFont="1" applyFill="1" applyBorder="1" applyAlignment="1">
      <alignment horizontal="left" vertical="top"/>
    </xf>
    <xf numFmtId="0" fontId="100" fillId="0" borderId="45" xfId="0" applyFont="1" applyFill="1" applyBorder="1" applyAlignment="1">
      <alignment horizontal="left" vertical="top" wrapText="1"/>
    </xf>
    <xf numFmtId="0" fontId="100" fillId="0" borderId="45" xfId="0" applyFont="1" applyFill="1" applyBorder="1" applyAlignment="1">
      <alignment horizontal="center" vertical="top" wrapText="1"/>
    </xf>
    <xf numFmtId="0" fontId="100" fillId="0" borderId="45" xfId="0" applyFont="1" applyFill="1" applyBorder="1" applyAlignment="1">
      <alignment horizontal="center" vertical="center"/>
    </xf>
    <xf numFmtId="0" fontId="100" fillId="0" borderId="45" xfId="0" applyFont="1" applyFill="1" applyBorder="1" applyAlignment="1">
      <alignment/>
    </xf>
    <xf numFmtId="16" fontId="100" fillId="0" borderId="45" xfId="0" applyNumberFormat="1" applyFont="1" applyFill="1" applyBorder="1" applyAlignment="1">
      <alignment horizontal="left" vertical="top" wrapText="1"/>
    </xf>
    <xf numFmtId="0" fontId="106" fillId="0" borderId="11" xfId="52" applyFont="1" applyBorder="1" applyAlignment="1">
      <alignment horizontal="center" vertical="center" wrapText="1"/>
      <protection/>
    </xf>
    <xf numFmtId="175" fontId="106" fillId="0" borderId="11" xfId="52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_Приложение 1 Формы для заполнения ОАО ТРК 07.04.2011.2" xfId="54"/>
    <cellStyle name="Обычный 3" xfId="55"/>
    <cellStyle name="Обычный 4" xfId="56"/>
    <cellStyle name="Обычный_Анкета предприятия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66</xdr:row>
      <xdr:rowOff>95250</xdr:rowOff>
    </xdr:from>
    <xdr:to>
      <xdr:col>10</xdr:col>
      <xdr:colOff>152400</xdr:colOff>
      <xdr:row>86</xdr:row>
      <xdr:rowOff>171450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963525"/>
          <a:ext cx="595312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154</xdr:row>
      <xdr:rowOff>133350</xdr:rowOff>
    </xdr:from>
    <xdr:to>
      <xdr:col>10</xdr:col>
      <xdr:colOff>381000</xdr:colOff>
      <xdr:row>159</xdr:row>
      <xdr:rowOff>161925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0851475"/>
          <a:ext cx="5953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127</xdr:row>
      <xdr:rowOff>28575</xdr:rowOff>
    </xdr:from>
    <xdr:to>
      <xdr:col>10</xdr:col>
      <xdr:colOff>285750</xdr:colOff>
      <xdr:row>133</xdr:row>
      <xdr:rowOff>190500</xdr:rowOff>
    </xdr:to>
    <xdr:pic>
      <xdr:nvPicPr>
        <xdr:cNvPr id="3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24965025"/>
          <a:ext cx="5953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107</xdr:row>
      <xdr:rowOff>19050</xdr:rowOff>
    </xdr:from>
    <xdr:to>
      <xdr:col>10</xdr:col>
      <xdr:colOff>285750</xdr:colOff>
      <xdr:row>122</xdr:row>
      <xdr:rowOff>180975</xdr:rowOff>
    </xdr:to>
    <xdr:pic>
      <xdr:nvPicPr>
        <xdr:cNvPr id="4" name="Picture 1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20764500"/>
          <a:ext cx="59531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142</xdr:row>
      <xdr:rowOff>28575</xdr:rowOff>
    </xdr:from>
    <xdr:to>
      <xdr:col>10</xdr:col>
      <xdr:colOff>200025</xdr:colOff>
      <xdr:row>150</xdr:row>
      <xdr:rowOff>66675</xdr:rowOff>
    </xdr:to>
    <xdr:pic>
      <xdr:nvPicPr>
        <xdr:cNvPr id="5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289250"/>
          <a:ext cx="59531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151</xdr:row>
      <xdr:rowOff>95250</xdr:rowOff>
    </xdr:from>
    <xdr:to>
      <xdr:col>10</xdr:col>
      <xdr:colOff>123825</xdr:colOff>
      <xdr:row>153</xdr:row>
      <xdr:rowOff>57150</xdr:rowOff>
    </xdr:to>
    <xdr:pic>
      <xdr:nvPicPr>
        <xdr:cNvPr id="6" name="Picture 4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30213300"/>
          <a:ext cx="5953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INetCache\Content.Outlook\ZRVLYEZK\041_&#1054;&#1054;&#1054;_&#1069;&#1085;&#1077;&#1088;&#1075;&#1086;&#1073;&#1072;&#1083;&#1072;&#1085;&#1089;_&#1053;&#1072;&#1076;.&#1050;&#1072;&#1095;&#1077;&#1089;&#1090;&#1074;&#1086;_&#1087;&#1086;_&#1087;&#1088;&#1080;&#1082;.718_2015-2019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Форма.1.1"/>
      <sheetName val="Форма.1.2"/>
      <sheetName val="Форма.1.3"/>
      <sheetName val="Форма.2.1"/>
      <sheetName val="Форма.2.2"/>
      <sheetName val="Форма.2.3"/>
      <sheetName val="Форма.2.4"/>
      <sheetName val="Форма.3.1"/>
      <sheetName val="Форма.3.2"/>
      <sheetName val="Форма.3.3"/>
      <sheetName val="Форма.4.1"/>
      <sheetName val="Форма.4.2"/>
      <sheetName val="Форма.8.1"/>
      <sheetName val="Форма 8.3"/>
      <sheetName val="Факт_План"/>
      <sheetName val="Анкета.2"/>
      <sheetName val="Пояснительная записка"/>
      <sheetName val="Анкета.2 (2)"/>
      <sheetName val="Лист3"/>
    </sheetNames>
    <sheetDataSet>
      <sheetData sheetId="0">
        <row r="9">
          <cell r="H9">
            <v>2</v>
          </cell>
          <cell r="I9">
            <v>1</v>
          </cell>
        </row>
        <row r="10">
          <cell r="H10">
            <v>3</v>
          </cell>
          <cell r="I10">
            <v>1</v>
          </cell>
        </row>
        <row r="11">
          <cell r="H11">
            <v>4</v>
          </cell>
          <cell r="I11">
            <v>1</v>
          </cell>
        </row>
        <row r="12">
          <cell r="H12">
            <v>5</v>
          </cell>
          <cell r="I12">
            <v>2</v>
          </cell>
        </row>
        <row r="13">
          <cell r="H13">
            <v>7</v>
          </cell>
          <cell r="I13">
            <v>2</v>
          </cell>
        </row>
        <row r="14">
          <cell r="H14">
            <v>9</v>
          </cell>
          <cell r="I14">
            <v>2</v>
          </cell>
        </row>
        <row r="15">
          <cell r="H15">
            <v>11</v>
          </cell>
          <cell r="I15">
            <v>2</v>
          </cell>
        </row>
        <row r="16">
          <cell r="H16">
            <v>13</v>
          </cell>
          <cell r="I16">
            <v>1</v>
          </cell>
        </row>
        <row r="17">
          <cell r="H17">
            <v>14</v>
          </cell>
          <cell r="I17">
            <v>1</v>
          </cell>
        </row>
        <row r="18">
          <cell r="H18">
            <v>15</v>
          </cell>
          <cell r="I18">
            <v>1</v>
          </cell>
        </row>
        <row r="19">
          <cell r="H19">
            <v>16</v>
          </cell>
          <cell r="I19">
            <v>1</v>
          </cell>
        </row>
        <row r="20">
          <cell r="H20">
            <v>17</v>
          </cell>
          <cell r="I20">
            <v>1</v>
          </cell>
        </row>
        <row r="21">
          <cell r="H21">
            <v>18</v>
          </cell>
          <cell r="I21">
            <v>3</v>
          </cell>
        </row>
        <row r="22">
          <cell r="H22">
            <v>21</v>
          </cell>
          <cell r="I22">
            <v>1</v>
          </cell>
        </row>
        <row r="23">
          <cell r="H23">
            <v>22</v>
          </cell>
          <cell r="I23">
            <v>1</v>
          </cell>
        </row>
        <row r="24">
          <cell r="H24">
            <v>23</v>
          </cell>
          <cell r="I24">
            <v>2</v>
          </cell>
        </row>
      </sheetData>
      <sheetData sheetId="1">
        <row r="6">
          <cell r="C6" t="str">
            <v>Январь - Журнал учета</v>
          </cell>
        </row>
        <row r="7">
          <cell r="C7" t="str">
            <v>Февраль - Журнал учета</v>
          </cell>
        </row>
        <row r="8">
          <cell r="C8" t="str">
            <v>Март - Журнал учета</v>
          </cell>
        </row>
        <row r="9">
          <cell r="C9" t="str">
            <v>Апрель - Журнал учета</v>
          </cell>
        </row>
        <row r="10">
          <cell r="C10" t="str">
            <v>Май - Журнал учета</v>
          </cell>
        </row>
        <row r="11">
          <cell r="C11" t="str">
            <v>Июнь - Журнал учета</v>
          </cell>
        </row>
        <row r="12">
          <cell r="C12" t="str">
            <v>Июль - Журнал учета</v>
          </cell>
        </row>
        <row r="13">
          <cell r="C13" t="str">
            <v>Август - Журнал учета</v>
          </cell>
        </row>
        <row r="14">
          <cell r="C14" t="str">
            <v>Сентябрь - Журнал учета</v>
          </cell>
        </row>
        <row r="15">
          <cell r="C15" t="str">
            <v>Октябрь - Журнал учета</v>
          </cell>
        </row>
        <row r="16">
          <cell r="C16" t="str">
            <v>Ноябрь - Журнал учета</v>
          </cell>
        </row>
        <row r="17">
          <cell r="C17" t="str">
            <v>Декабрь - Журнал учета</v>
          </cell>
        </row>
        <row r="19">
          <cell r="E19">
            <v>2014</v>
          </cell>
        </row>
        <row r="22">
          <cell r="C22" t="str">
            <v>Январь - Журнал учета</v>
          </cell>
        </row>
        <row r="23">
          <cell r="C23" t="str">
            <v>Февраль - Журнал учета</v>
          </cell>
        </row>
        <row r="24">
          <cell r="C24" t="str">
            <v>Март - Журнал учета</v>
          </cell>
        </row>
        <row r="25">
          <cell r="C25" t="str">
            <v>Апрель - Журнал учета</v>
          </cell>
        </row>
        <row r="26">
          <cell r="C26" t="str">
            <v>Май - Журнал учета</v>
          </cell>
        </row>
        <row r="27">
          <cell r="C27" t="str">
            <v>Июнь - Журнал учета</v>
          </cell>
        </row>
        <row r="28">
          <cell r="C28" t="str">
            <v>Июль - Журнал учета</v>
          </cell>
        </row>
        <row r="29">
          <cell r="C29" t="str">
            <v>Август - Журнал учета</v>
          </cell>
        </row>
        <row r="30">
          <cell r="C30" t="str">
            <v>Сентябрь - Журнал учета</v>
          </cell>
        </row>
        <row r="31">
          <cell r="C31" t="str">
            <v>Октябрь - Журнал учета</v>
          </cell>
        </row>
        <row r="32">
          <cell r="C32" t="str">
            <v>Ноябрь - Журнал учета</v>
          </cell>
        </row>
        <row r="33">
          <cell r="C33" t="str">
            <v>Декабрь - Журнал учета</v>
          </cell>
        </row>
        <row r="35">
          <cell r="E35">
            <v>2013</v>
          </cell>
        </row>
        <row r="51">
          <cell r="E51">
            <v>2012</v>
          </cell>
        </row>
        <row r="83">
          <cell r="C83" t="str">
            <v>Примечание :</v>
          </cell>
        </row>
      </sheetData>
      <sheetData sheetId="3">
        <row r="7">
          <cell r="C7" t="str">
            <v>Использование современной системы автоматики, своевременное проведение профилактических ремонтов оборудования, оперативность при устранении аварийных ситуаций.</v>
          </cell>
          <cell r="D7" t="str">
            <v>Замена устаревшего и изношенного оборудования - должна повысить надежность электроснабжения потребителей. Современная РЗА должна обеспечить надлежащий уровень защиты оборудования и обеспечить оперативною подачу электроэнергии при аварийных отключениях.</v>
          </cell>
        </row>
        <row r="11">
          <cell r="C11" t="str">
            <v>Оптимизация сроков работы с потребителями по технологическим присоединениям.</v>
          </cell>
          <cell r="D11" t="str">
            <v>Уменьшение cрока рассмотрения заявок позволит более оперативно подключать заявителей.</v>
          </cell>
        </row>
        <row r="14">
          <cell r="C14" t="str">
            <v>Измерение параметров, распределение нагрузок по фазам, своевременное проведение профилактических ремонтов оборудования, переключение анцапф на трансформаторах.  провидение обучения с сотрудниками по работе с потребителями</v>
          </cell>
          <cell r="D14" t="str">
            <v>Данные мероприятия должны повысить качество обслуживания потребителей</v>
          </cell>
        </row>
      </sheetData>
      <sheetData sheetId="4">
        <row r="5">
          <cell r="H5">
            <v>2012</v>
          </cell>
          <cell r="I5">
            <v>2013</v>
          </cell>
          <cell r="J5">
            <v>2014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1</v>
          </cell>
        </row>
        <row r="20">
          <cell r="K20">
            <v>1</v>
          </cell>
        </row>
      </sheetData>
      <sheetData sheetId="5">
        <row r="9">
          <cell r="H9">
            <v>0</v>
          </cell>
          <cell r="I9">
            <v>0</v>
          </cell>
          <cell r="J9">
            <v>0</v>
          </cell>
        </row>
        <row r="11">
          <cell r="H11">
            <v>0</v>
          </cell>
          <cell r="I11">
            <v>0</v>
          </cell>
          <cell r="J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</sheetData>
      <sheetData sheetId="7">
        <row r="10">
          <cell r="P10">
            <v>2</v>
          </cell>
          <cell r="T10">
            <v>2</v>
          </cell>
          <cell r="X10">
            <v>2</v>
          </cell>
          <cell r="AB10">
            <v>2</v>
          </cell>
          <cell r="AF10">
            <v>2</v>
          </cell>
        </row>
        <row r="11">
          <cell r="O11">
            <v>100</v>
          </cell>
          <cell r="P11">
            <v>2</v>
          </cell>
          <cell r="S11">
            <v>100</v>
          </cell>
          <cell r="T11">
            <v>2</v>
          </cell>
          <cell r="W11">
            <v>100</v>
          </cell>
          <cell r="X11">
            <v>2</v>
          </cell>
          <cell r="AA11">
            <v>100</v>
          </cell>
          <cell r="AB11">
            <v>2</v>
          </cell>
          <cell r="AE11">
            <v>100</v>
          </cell>
          <cell r="AF11">
            <v>2</v>
          </cell>
        </row>
        <row r="12">
          <cell r="P12">
            <v>2</v>
          </cell>
          <cell r="T12">
            <v>2</v>
          </cell>
          <cell r="X12">
            <v>2</v>
          </cell>
          <cell r="AB12">
            <v>2</v>
          </cell>
          <cell r="AF12">
            <v>2</v>
          </cell>
        </row>
        <row r="13">
          <cell r="O13">
            <v>100</v>
          </cell>
          <cell r="P13">
            <v>2</v>
          </cell>
          <cell r="S13">
            <v>100</v>
          </cell>
          <cell r="T13">
            <v>2</v>
          </cell>
          <cell r="W13">
            <v>100</v>
          </cell>
          <cell r="X13">
            <v>2</v>
          </cell>
          <cell r="AA13">
            <v>100</v>
          </cell>
          <cell r="AB13">
            <v>2</v>
          </cell>
          <cell r="AE13">
            <v>100</v>
          </cell>
          <cell r="AF13">
            <v>2</v>
          </cell>
        </row>
        <row r="14">
          <cell r="O14">
            <v>100</v>
          </cell>
          <cell r="P14">
            <v>2</v>
          </cell>
          <cell r="S14">
            <v>100</v>
          </cell>
          <cell r="T14">
            <v>2</v>
          </cell>
          <cell r="W14">
            <v>100</v>
          </cell>
          <cell r="X14">
            <v>2</v>
          </cell>
          <cell r="AA14">
            <v>100</v>
          </cell>
          <cell r="AB14">
            <v>2</v>
          </cell>
          <cell r="AE14">
            <v>100</v>
          </cell>
          <cell r="AF14">
            <v>2</v>
          </cell>
        </row>
        <row r="15">
          <cell r="O15">
            <v>100</v>
          </cell>
          <cell r="P15">
            <v>2</v>
          </cell>
          <cell r="S15">
            <v>100</v>
          </cell>
          <cell r="T15">
            <v>2</v>
          </cell>
          <cell r="W15">
            <v>100</v>
          </cell>
          <cell r="X15">
            <v>2</v>
          </cell>
          <cell r="AA15">
            <v>100</v>
          </cell>
          <cell r="AB15">
            <v>2</v>
          </cell>
          <cell r="AE15">
            <v>100</v>
          </cell>
          <cell r="AF15">
            <v>2</v>
          </cell>
        </row>
        <row r="16">
          <cell r="O16">
            <v>100</v>
          </cell>
          <cell r="P16">
            <v>2</v>
          </cell>
          <cell r="S16">
            <v>100</v>
          </cell>
          <cell r="T16">
            <v>2</v>
          </cell>
          <cell r="W16">
            <v>100</v>
          </cell>
          <cell r="X16">
            <v>2</v>
          </cell>
          <cell r="AA16">
            <v>100</v>
          </cell>
          <cell r="AB16">
            <v>2</v>
          </cell>
          <cell r="AE16">
            <v>100</v>
          </cell>
          <cell r="AF16">
            <v>2</v>
          </cell>
        </row>
        <row r="17">
          <cell r="P17">
            <v>2</v>
          </cell>
          <cell r="T17">
            <v>2</v>
          </cell>
          <cell r="X17">
            <v>2</v>
          </cell>
          <cell r="AB17">
            <v>2</v>
          </cell>
          <cell r="AF17">
            <v>2</v>
          </cell>
        </row>
        <row r="18">
          <cell r="O18">
            <v>100</v>
          </cell>
          <cell r="P18">
            <v>2</v>
          </cell>
          <cell r="S18">
            <v>100</v>
          </cell>
          <cell r="T18">
            <v>2</v>
          </cell>
          <cell r="W18">
            <v>100</v>
          </cell>
          <cell r="X18">
            <v>2</v>
          </cell>
          <cell r="AA18">
            <v>100</v>
          </cell>
          <cell r="AB18">
            <v>2</v>
          </cell>
          <cell r="AE18">
            <v>100</v>
          </cell>
          <cell r="AF18">
            <v>2</v>
          </cell>
        </row>
        <row r="19">
          <cell r="O19">
            <v>100</v>
          </cell>
          <cell r="P19">
            <v>2</v>
          </cell>
          <cell r="S19">
            <v>100</v>
          </cell>
          <cell r="T19">
            <v>2</v>
          </cell>
          <cell r="W19">
            <v>100</v>
          </cell>
          <cell r="X19">
            <v>2</v>
          </cell>
          <cell r="AA19">
            <v>100</v>
          </cell>
          <cell r="AB19">
            <v>2</v>
          </cell>
          <cell r="AE19">
            <v>100</v>
          </cell>
          <cell r="AF19">
            <v>2</v>
          </cell>
        </row>
        <row r="20">
          <cell r="O20">
            <v>100</v>
          </cell>
          <cell r="P20">
            <v>2</v>
          </cell>
          <cell r="S20">
            <v>100</v>
          </cell>
          <cell r="T20">
            <v>2</v>
          </cell>
          <cell r="W20">
            <v>100</v>
          </cell>
          <cell r="X20">
            <v>2</v>
          </cell>
          <cell r="AA20">
            <v>100</v>
          </cell>
          <cell r="AB20">
            <v>2</v>
          </cell>
          <cell r="AE20">
            <v>100</v>
          </cell>
          <cell r="AF20">
            <v>2</v>
          </cell>
        </row>
        <row r="21">
          <cell r="O21">
            <v>100</v>
          </cell>
          <cell r="P21">
            <v>2</v>
          </cell>
          <cell r="S21">
            <v>100</v>
          </cell>
          <cell r="T21">
            <v>2</v>
          </cell>
          <cell r="W21">
            <v>100</v>
          </cell>
          <cell r="X21">
            <v>2</v>
          </cell>
          <cell r="AA21">
            <v>100</v>
          </cell>
          <cell r="AB21">
            <v>2</v>
          </cell>
          <cell r="AE21">
            <v>100</v>
          </cell>
          <cell r="AF21">
            <v>2</v>
          </cell>
        </row>
        <row r="22">
          <cell r="O22">
            <v>100</v>
          </cell>
          <cell r="P22">
            <v>2</v>
          </cell>
          <cell r="S22">
            <v>100</v>
          </cell>
          <cell r="T22">
            <v>2</v>
          </cell>
          <cell r="W22">
            <v>100</v>
          </cell>
          <cell r="X22">
            <v>2</v>
          </cell>
          <cell r="AA22">
            <v>100</v>
          </cell>
          <cell r="AB22">
            <v>2</v>
          </cell>
          <cell r="AE22">
            <v>100</v>
          </cell>
          <cell r="AF22">
            <v>2</v>
          </cell>
        </row>
        <row r="23">
          <cell r="P23">
            <v>2</v>
          </cell>
          <cell r="T23">
            <v>2</v>
          </cell>
          <cell r="X23">
            <v>2</v>
          </cell>
          <cell r="AB23">
            <v>2</v>
          </cell>
          <cell r="AF23">
            <v>2</v>
          </cell>
        </row>
        <row r="24">
          <cell r="O24">
            <v>100</v>
          </cell>
          <cell r="P24">
            <v>2</v>
          </cell>
          <cell r="S24">
            <v>100</v>
          </cell>
          <cell r="T24">
            <v>2</v>
          </cell>
          <cell r="W24">
            <v>100</v>
          </cell>
          <cell r="X24">
            <v>2</v>
          </cell>
          <cell r="AA24">
            <v>100</v>
          </cell>
          <cell r="AB24">
            <v>2</v>
          </cell>
          <cell r="AE24">
            <v>100</v>
          </cell>
          <cell r="AF24">
            <v>2</v>
          </cell>
        </row>
        <row r="25">
          <cell r="P25">
            <v>2</v>
          </cell>
          <cell r="T25">
            <v>2</v>
          </cell>
          <cell r="X25">
            <v>2</v>
          </cell>
          <cell r="AB25">
            <v>2</v>
          </cell>
          <cell r="AF25">
            <v>2</v>
          </cell>
        </row>
        <row r="26">
          <cell r="O26">
            <v>100</v>
          </cell>
          <cell r="P26">
            <v>2</v>
          </cell>
          <cell r="S26">
            <v>100</v>
          </cell>
          <cell r="T26">
            <v>2</v>
          </cell>
          <cell r="W26">
            <v>100</v>
          </cell>
          <cell r="X26">
            <v>2</v>
          </cell>
          <cell r="AA26">
            <v>100</v>
          </cell>
          <cell r="AB26">
            <v>2</v>
          </cell>
          <cell r="AE26">
            <v>100</v>
          </cell>
          <cell r="AF26">
            <v>2</v>
          </cell>
        </row>
        <row r="27">
          <cell r="O27">
            <v>100</v>
          </cell>
          <cell r="P27">
            <v>2</v>
          </cell>
          <cell r="S27">
            <v>100</v>
          </cell>
          <cell r="T27">
            <v>2</v>
          </cell>
          <cell r="W27">
            <v>100</v>
          </cell>
          <cell r="X27">
            <v>2</v>
          </cell>
          <cell r="AA27">
            <v>100</v>
          </cell>
          <cell r="AB27">
            <v>2</v>
          </cell>
          <cell r="AE27">
            <v>100</v>
          </cell>
          <cell r="AF27">
            <v>2</v>
          </cell>
        </row>
        <row r="29">
          <cell r="P29">
            <v>0.5</v>
          </cell>
          <cell r="T29">
            <v>0.5</v>
          </cell>
          <cell r="X29">
            <v>0.5</v>
          </cell>
          <cell r="AB29">
            <v>0.5</v>
          </cell>
          <cell r="AF29">
            <v>0.5</v>
          </cell>
        </row>
        <row r="30">
          <cell r="O30">
            <v>100</v>
          </cell>
          <cell r="P30">
            <v>0.5</v>
          </cell>
          <cell r="S30">
            <v>101.5228426395939</v>
          </cell>
          <cell r="T30">
            <v>0.5</v>
          </cell>
          <cell r="W30">
            <v>101.5228426395939</v>
          </cell>
          <cell r="X30">
            <v>0.5</v>
          </cell>
          <cell r="AA30">
            <v>101.5228426395939</v>
          </cell>
          <cell r="AB30">
            <v>0.5</v>
          </cell>
          <cell r="AE30">
            <v>101.52284263959392</v>
          </cell>
          <cell r="AF30">
            <v>0.5</v>
          </cell>
        </row>
        <row r="31">
          <cell r="P31">
            <v>0.5</v>
          </cell>
          <cell r="T31">
            <v>0.5</v>
          </cell>
          <cell r="X31">
            <v>0.5</v>
          </cell>
          <cell r="AB31">
            <v>0.5</v>
          </cell>
          <cell r="AF31">
            <v>0.5</v>
          </cell>
        </row>
        <row r="32">
          <cell r="O32">
            <v>100</v>
          </cell>
          <cell r="P32">
            <v>0.5</v>
          </cell>
          <cell r="S32">
            <v>101.5228426395939</v>
          </cell>
          <cell r="T32">
            <v>0.5</v>
          </cell>
          <cell r="W32">
            <v>101.52284263959392</v>
          </cell>
          <cell r="X32">
            <v>0.5</v>
          </cell>
          <cell r="AA32">
            <v>101.52284263959392</v>
          </cell>
          <cell r="AB32">
            <v>0.5</v>
          </cell>
          <cell r="AE32">
            <v>101.52284263959392</v>
          </cell>
          <cell r="AF32">
            <v>0.5</v>
          </cell>
        </row>
        <row r="33">
          <cell r="O33">
            <v>100</v>
          </cell>
          <cell r="P33">
            <v>0.5</v>
          </cell>
          <cell r="S33">
            <v>101.5228426395939</v>
          </cell>
          <cell r="T33">
            <v>0.5</v>
          </cell>
          <cell r="W33">
            <v>101.52284263959392</v>
          </cell>
          <cell r="X33">
            <v>0.5</v>
          </cell>
          <cell r="AA33">
            <v>101.52284263959392</v>
          </cell>
          <cell r="AB33">
            <v>0.5</v>
          </cell>
          <cell r="AE33">
            <v>101.52284263959392</v>
          </cell>
          <cell r="AF33">
            <v>0.5</v>
          </cell>
        </row>
        <row r="34">
          <cell r="O34">
            <v>100</v>
          </cell>
          <cell r="P34">
            <v>0.5</v>
          </cell>
          <cell r="S34">
            <v>100</v>
          </cell>
          <cell r="T34">
            <v>0.5</v>
          </cell>
          <cell r="W34">
            <v>100</v>
          </cell>
          <cell r="X34">
            <v>0.5</v>
          </cell>
          <cell r="AA34">
            <v>100</v>
          </cell>
          <cell r="AB34">
            <v>0.5</v>
          </cell>
          <cell r="AE34">
            <v>100</v>
          </cell>
          <cell r="AF34">
            <v>0.5</v>
          </cell>
        </row>
        <row r="35">
          <cell r="P35">
            <v>0.5</v>
          </cell>
          <cell r="T35">
            <v>0.5</v>
          </cell>
          <cell r="X35">
            <v>0.5</v>
          </cell>
          <cell r="AB35">
            <v>0.5</v>
          </cell>
          <cell r="AF35">
            <v>0.5</v>
          </cell>
        </row>
        <row r="36">
          <cell r="O36">
            <v>100</v>
          </cell>
          <cell r="P36">
            <v>0.5</v>
          </cell>
          <cell r="S36">
            <v>100</v>
          </cell>
          <cell r="T36">
            <v>0.5</v>
          </cell>
          <cell r="W36">
            <v>100</v>
          </cell>
          <cell r="X36">
            <v>0.5</v>
          </cell>
          <cell r="AA36">
            <v>100</v>
          </cell>
          <cell r="AB36">
            <v>0.5</v>
          </cell>
          <cell r="AE36">
            <v>100</v>
          </cell>
          <cell r="AF36">
            <v>0.5</v>
          </cell>
        </row>
        <row r="37">
          <cell r="P37">
            <v>0.5</v>
          </cell>
          <cell r="T37">
            <v>0.5</v>
          </cell>
          <cell r="X37">
            <v>0.5</v>
          </cell>
          <cell r="AB37">
            <v>0.5</v>
          </cell>
          <cell r="AF37">
            <v>0.5</v>
          </cell>
        </row>
        <row r="38">
          <cell r="O38">
            <v>100</v>
          </cell>
          <cell r="P38">
            <v>0.5</v>
          </cell>
          <cell r="S38">
            <v>100</v>
          </cell>
          <cell r="T38">
            <v>0.5</v>
          </cell>
          <cell r="W38">
            <v>100</v>
          </cell>
          <cell r="X38">
            <v>0.5</v>
          </cell>
          <cell r="AA38">
            <v>100</v>
          </cell>
          <cell r="AB38">
            <v>0.5</v>
          </cell>
          <cell r="AE38">
            <v>100</v>
          </cell>
          <cell r="AF38">
            <v>0.5</v>
          </cell>
        </row>
        <row r="39">
          <cell r="O39">
            <v>100</v>
          </cell>
          <cell r="P39">
            <v>0.5</v>
          </cell>
          <cell r="S39">
            <v>100</v>
          </cell>
          <cell r="T39">
            <v>0.5</v>
          </cell>
          <cell r="W39">
            <v>100</v>
          </cell>
          <cell r="X39">
            <v>0.5</v>
          </cell>
          <cell r="AA39">
            <v>100</v>
          </cell>
          <cell r="AB39">
            <v>0.5</v>
          </cell>
          <cell r="AE39">
            <v>100</v>
          </cell>
          <cell r="AF39">
            <v>0.5</v>
          </cell>
        </row>
        <row r="40">
          <cell r="P40">
            <v>0.2</v>
          </cell>
          <cell r="T40">
            <v>0.2</v>
          </cell>
          <cell r="X40">
            <v>0.2</v>
          </cell>
          <cell r="AB40">
            <v>0.2</v>
          </cell>
          <cell r="AF40">
            <v>0.2</v>
          </cell>
        </row>
        <row r="41">
          <cell r="O41">
            <v>100</v>
          </cell>
          <cell r="P41">
            <v>0.2</v>
          </cell>
          <cell r="S41">
            <v>100</v>
          </cell>
          <cell r="T41">
            <v>0.2</v>
          </cell>
          <cell r="W41">
            <v>100</v>
          </cell>
          <cell r="X41">
            <v>0.2</v>
          </cell>
          <cell r="AA41">
            <v>100</v>
          </cell>
          <cell r="AB41">
            <v>0.2</v>
          </cell>
          <cell r="AE41">
            <v>100</v>
          </cell>
          <cell r="AF41">
            <v>0.2</v>
          </cell>
        </row>
        <row r="43">
          <cell r="O43">
            <v>100</v>
          </cell>
          <cell r="P43">
            <v>2</v>
          </cell>
          <cell r="S43">
            <v>100</v>
          </cell>
          <cell r="T43">
            <v>2</v>
          </cell>
          <cell r="W43">
            <v>100</v>
          </cell>
          <cell r="X43">
            <v>2</v>
          </cell>
          <cell r="AA43">
            <v>100</v>
          </cell>
          <cell r="AB43">
            <v>2</v>
          </cell>
          <cell r="AE43">
            <v>100</v>
          </cell>
          <cell r="AF43">
            <v>2</v>
          </cell>
        </row>
        <row r="44">
          <cell r="P44">
            <v>2</v>
          </cell>
          <cell r="T44">
            <v>2</v>
          </cell>
          <cell r="X44">
            <v>2</v>
          </cell>
          <cell r="AB44">
            <v>2</v>
          </cell>
          <cell r="AF44">
            <v>2</v>
          </cell>
        </row>
        <row r="45">
          <cell r="O45">
            <v>100</v>
          </cell>
          <cell r="P45">
            <v>2</v>
          </cell>
          <cell r="S45">
            <v>100</v>
          </cell>
          <cell r="T45">
            <v>2</v>
          </cell>
          <cell r="W45">
            <v>100</v>
          </cell>
          <cell r="X45">
            <v>2</v>
          </cell>
          <cell r="AA45">
            <v>100</v>
          </cell>
          <cell r="AB45">
            <v>2</v>
          </cell>
          <cell r="AE45">
            <v>100</v>
          </cell>
          <cell r="AF45">
            <v>2</v>
          </cell>
        </row>
        <row r="46">
          <cell r="O46">
            <v>100</v>
          </cell>
          <cell r="P46">
            <v>2</v>
          </cell>
          <cell r="S46">
            <v>100</v>
          </cell>
          <cell r="T46">
            <v>2</v>
          </cell>
          <cell r="W46">
            <v>100</v>
          </cell>
          <cell r="X46">
            <v>2</v>
          </cell>
          <cell r="AA46">
            <v>100</v>
          </cell>
          <cell r="AB46">
            <v>2</v>
          </cell>
          <cell r="AE46">
            <v>100</v>
          </cell>
          <cell r="AF46">
            <v>2</v>
          </cell>
        </row>
        <row r="47">
          <cell r="O47">
            <v>100</v>
          </cell>
          <cell r="P47">
            <v>2</v>
          </cell>
          <cell r="S47">
            <v>100</v>
          </cell>
          <cell r="T47">
            <v>2</v>
          </cell>
          <cell r="W47">
            <v>100</v>
          </cell>
          <cell r="X47">
            <v>2</v>
          </cell>
          <cell r="AA47">
            <v>100</v>
          </cell>
          <cell r="AB47">
            <v>2</v>
          </cell>
          <cell r="AE47">
            <v>100</v>
          </cell>
          <cell r="AF47">
            <v>2</v>
          </cell>
        </row>
        <row r="48">
          <cell r="O48">
            <v>100</v>
          </cell>
          <cell r="P48">
            <v>2</v>
          </cell>
          <cell r="S48">
            <v>100</v>
          </cell>
          <cell r="T48">
            <v>2</v>
          </cell>
          <cell r="W48">
            <v>100</v>
          </cell>
          <cell r="X48">
            <v>2</v>
          </cell>
          <cell r="AA48">
            <v>100</v>
          </cell>
          <cell r="AB48">
            <v>2</v>
          </cell>
          <cell r="AE48">
            <v>100</v>
          </cell>
          <cell r="AF48">
            <v>2</v>
          </cell>
        </row>
        <row r="49">
          <cell r="O49">
            <v>100</v>
          </cell>
          <cell r="P49">
            <v>2</v>
          </cell>
          <cell r="S49">
            <v>100</v>
          </cell>
          <cell r="T49">
            <v>2</v>
          </cell>
          <cell r="W49">
            <v>100</v>
          </cell>
          <cell r="X49">
            <v>2</v>
          </cell>
          <cell r="AA49">
            <v>100</v>
          </cell>
          <cell r="AB49">
            <v>2</v>
          </cell>
          <cell r="AE49">
            <v>100</v>
          </cell>
          <cell r="AF49">
            <v>2</v>
          </cell>
        </row>
        <row r="50">
          <cell r="O50">
            <v>100</v>
          </cell>
          <cell r="P50">
            <v>2</v>
          </cell>
          <cell r="S50">
            <v>100</v>
          </cell>
          <cell r="T50">
            <v>2</v>
          </cell>
          <cell r="W50">
            <v>100</v>
          </cell>
          <cell r="X50">
            <v>2</v>
          </cell>
          <cell r="AA50">
            <v>100</v>
          </cell>
          <cell r="AB50">
            <v>2</v>
          </cell>
          <cell r="AE50">
            <v>100</v>
          </cell>
          <cell r="AF50">
            <v>2</v>
          </cell>
        </row>
        <row r="51">
          <cell r="P51">
            <v>2</v>
          </cell>
          <cell r="T51">
            <v>2</v>
          </cell>
          <cell r="X51">
            <v>2</v>
          </cell>
          <cell r="AB51">
            <v>2</v>
          </cell>
          <cell r="AF51">
            <v>2</v>
          </cell>
        </row>
        <row r="52">
          <cell r="O52">
            <v>100</v>
          </cell>
          <cell r="P52">
            <v>2</v>
          </cell>
          <cell r="S52">
            <v>100</v>
          </cell>
          <cell r="T52">
            <v>2</v>
          </cell>
          <cell r="W52">
            <v>100</v>
          </cell>
          <cell r="X52">
            <v>2</v>
          </cell>
          <cell r="AA52">
            <v>100</v>
          </cell>
          <cell r="AB52">
            <v>2</v>
          </cell>
          <cell r="AE52">
            <v>100</v>
          </cell>
          <cell r="AF52">
            <v>2</v>
          </cell>
        </row>
        <row r="53">
          <cell r="P53">
            <v>2</v>
          </cell>
          <cell r="T53">
            <v>2</v>
          </cell>
          <cell r="X53">
            <v>2</v>
          </cell>
          <cell r="AB53">
            <v>2</v>
          </cell>
          <cell r="AF53">
            <v>2</v>
          </cell>
        </row>
        <row r="54">
          <cell r="O54">
            <v>100</v>
          </cell>
          <cell r="P54">
            <v>2</v>
          </cell>
          <cell r="S54">
            <v>100</v>
          </cell>
          <cell r="T54">
            <v>2</v>
          </cell>
          <cell r="W54">
            <v>100</v>
          </cell>
          <cell r="X54">
            <v>2</v>
          </cell>
          <cell r="AA54">
            <v>100</v>
          </cell>
          <cell r="AB54">
            <v>2</v>
          </cell>
          <cell r="AE54">
            <v>100</v>
          </cell>
          <cell r="AF54">
            <v>2</v>
          </cell>
        </row>
        <row r="55">
          <cell r="O55">
            <v>100</v>
          </cell>
          <cell r="P55">
            <v>2</v>
          </cell>
          <cell r="S55">
            <v>100</v>
          </cell>
          <cell r="T55">
            <v>2</v>
          </cell>
          <cell r="W55">
            <v>100</v>
          </cell>
          <cell r="X55">
            <v>2</v>
          </cell>
          <cell r="AA55">
            <v>100</v>
          </cell>
          <cell r="AB55">
            <v>2</v>
          </cell>
          <cell r="AE55">
            <v>100</v>
          </cell>
          <cell r="AF55">
            <v>2</v>
          </cell>
        </row>
        <row r="56">
          <cell r="O56">
            <v>100</v>
          </cell>
          <cell r="P56">
            <v>2</v>
          </cell>
          <cell r="S56">
            <v>100</v>
          </cell>
          <cell r="T56">
            <v>2</v>
          </cell>
          <cell r="W56">
            <v>100</v>
          </cell>
          <cell r="X56">
            <v>2</v>
          </cell>
          <cell r="AA56">
            <v>100</v>
          </cell>
          <cell r="AB56">
            <v>2</v>
          </cell>
          <cell r="AE56">
            <v>100</v>
          </cell>
          <cell r="AF56">
            <v>2</v>
          </cell>
        </row>
        <row r="57">
          <cell r="P57">
            <v>2</v>
          </cell>
          <cell r="T57">
            <v>2</v>
          </cell>
          <cell r="X57">
            <v>2</v>
          </cell>
          <cell r="AB57">
            <v>2</v>
          </cell>
          <cell r="AF57">
            <v>2</v>
          </cell>
        </row>
        <row r="58">
          <cell r="O58">
            <v>100</v>
          </cell>
          <cell r="P58">
            <v>2</v>
          </cell>
          <cell r="S58">
            <v>100</v>
          </cell>
          <cell r="T58">
            <v>2</v>
          </cell>
          <cell r="W58">
            <v>100</v>
          </cell>
          <cell r="X58">
            <v>2</v>
          </cell>
          <cell r="AA58">
            <v>100</v>
          </cell>
          <cell r="AB58">
            <v>2</v>
          </cell>
          <cell r="AE58">
            <v>100</v>
          </cell>
          <cell r="AF58">
            <v>2</v>
          </cell>
        </row>
        <row r="59">
          <cell r="P59">
            <v>2</v>
          </cell>
          <cell r="T59">
            <v>2</v>
          </cell>
          <cell r="X59">
            <v>2</v>
          </cell>
          <cell r="AB59">
            <v>2</v>
          </cell>
          <cell r="AF59">
            <v>2</v>
          </cell>
        </row>
        <row r="60">
          <cell r="O60">
            <v>100</v>
          </cell>
          <cell r="P60">
            <v>2</v>
          </cell>
          <cell r="S60">
            <v>100</v>
          </cell>
          <cell r="T60">
            <v>2</v>
          </cell>
          <cell r="W60">
            <v>100</v>
          </cell>
          <cell r="X60">
            <v>2</v>
          </cell>
          <cell r="AA60">
            <v>100</v>
          </cell>
          <cell r="AB60">
            <v>2</v>
          </cell>
          <cell r="AE60">
            <v>100</v>
          </cell>
          <cell r="AF60">
            <v>2</v>
          </cell>
        </row>
        <row r="61">
          <cell r="O61">
            <v>100</v>
          </cell>
          <cell r="P61">
            <v>2</v>
          </cell>
          <cell r="S61">
            <v>100</v>
          </cell>
          <cell r="T61">
            <v>2</v>
          </cell>
          <cell r="W61">
            <v>100</v>
          </cell>
          <cell r="X61">
            <v>2</v>
          </cell>
          <cell r="AA61">
            <v>100</v>
          </cell>
          <cell r="AB61">
            <v>2</v>
          </cell>
          <cell r="AE61">
            <v>100</v>
          </cell>
          <cell r="AF61">
            <v>2</v>
          </cell>
        </row>
      </sheetData>
      <sheetData sheetId="11">
        <row r="9">
          <cell r="E9">
            <v>1</v>
          </cell>
        </row>
        <row r="12">
          <cell r="E12">
            <v>1</v>
          </cell>
        </row>
        <row r="13">
          <cell r="E13">
            <v>0.8975</v>
          </cell>
        </row>
      </sheetData>
      <sheetData sheetId="12">
        <row r="10">
          <cell r="D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zoomScalePageLayoutView="0" workbookViewId="0" topLeftCell="A1">
      <pane xSplit="3" ySplit="8" topLeftCell="D9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C27" sqref="C27"/>
    </sheetView>
  </sheetViews>
  <sheetFormatPr defaultColWidth="9.00390625" defaultRowHeight="15.75"/>
  <cols>
    <col min="1" max="1" width="0.875" style="41" customWidth="1"/>
    <col min="2" max="2" width="3.25390625" style="9" customWidth="1"/>
    <col min="3" max="3" width="9.375" style="9" customWidth="1"/>
    <col min="4" max="4" width="31.375" style="9" customWidth="1"/>
    <col min="5" max="5" width="5.875" style="9" customWidth="1"/>
    <col min="6" max="6" width="18.75390625" style="9" customWidth="1"/>
    <col min="7" max="7" width="34.50390625" style="9" customWidth="1"/>
    <col min="8" max="8" width="5.875" style="9" customWidth="1"/>
    <col min="9" max="9" width="6.50390625" style="9" bestFit="1" customWidth="1"/>
    <col min="10" max="10" width="0.875" style="35" customWidth="1"/>
    <col min="11" max="16384" width="9.00390625" style="9" customWidth="1"/>
  </cols>
  <sheetData>
    <row r="1" spans="1:10" ht="15.75">
      <c r="A1" s="36"/>
      <c r="B1" s="184"/>
      <c r="C1" s="185"/>
      <c r="D1" s="185"/>
      <c r="E1" s="185"/>
      <c r="F1" s="37"/>
      <c r="H1" s="186" t="s">
        <v>35</v>
      </c>
      <c r="I1" s="186"/>
      <c r="J1" s="36"/>
    </row>
    <row r="2" spans="1:10" ht="15.75">
      <c r="A2" s="36"/>
      <c r="B2" s="184"/>
      <c r="C2" s="185"/>
      <c r="D2" s="185"/>
      <c r="E2" s="185"/>
      <c r="F2" s="95"/>
      <c r="G2" s="448"/>
      <c r="H2" s="447" t="s">
        <v>424</v>
      </c>
      <c r="I2" s="187"/>
      <c r="J2" s="36"/>
    </row>
    <row r="3" spans="1:10" s="35" customFormat="1" ht="5.25">
      <c r="A3" s="36"/>
      <c r="B3" s="188"/>
      <c r="C3" s="36"/>
      <c r="D3" s="36"/>
      <c r="E3" s="36"/>
      <c r="F3" s="7"/>
      <c r="G3" s="7"/>
      <c r="H3" s="7"/>
      <c r="I3" s="7"/>
      <c r="J3" s="36"/>
    </row>
    <row r="4" spans="1:10" ht="15.75">
      <c r="A4" s="7"/>
      <c r="B4" s="38"/>
      <c r="C4" s="189" t="s">
        <v>36</v>
      </c>
      <c r="D4" s="95"/>
      <c r="E4" s="95"/>
      <c r="F4" s="95"/>
      <c r="G4" s="95"/>
      <c r="H4" s="95"/>
      <c r="I4" s="95"/>
      <c r="J4" s="7"/>
    </row>
    <row r="5" spans="1:10" ht="15.75">
      <c r="A5" s="7"/>
      <c r="B5" s="38"/>
      <c r="C5" s="496" t="s">
        <v>452</v>
      </c>
      <c r="E5" s="95"/>
      <c r="F5" s="364"/>
      <c r="H5" s="32" t="s">
        <v>198</v>
      </c>
      <c r="I5" s="203">
        <v>2017</v>
      </c>
      <c r="J5" s="7"/>
    </row>
    <row r="6" spans="1:10" ht="15.75">
      <c r="A6" s="7"/>
      <c r="B6" s="38"/>
      <c r="C6" s="311" t="s">
        <v>372</v>
      </c>
      <c r="D6" s="107"/>
      <c r="E6" s="107"/>
      <c r="F6" s="365"/>
      <c r="H6" s="366" t="s">
        <v>371</v>
      </c>
      <c r="I6" s="367" t="s">
        <v>199</v>
      </c>
      <c r="J6" s="7"/>
    </row>
    <row r="7" spans="1:10" s="35" customFormat="1" ht="5.25">
      <c r="A7" s="7"/>
      <c r="B7" s="182"/>
      <c r="C7" s="7"/>
      <c r="D7" s="7"/>
      <c r="E7" s="7"/>
      <c r="F7" s="7"/>
      <c r="G7" s="7"/>
      <c r="H7" s="7"/>
      <c r="I7" s="7"/>
      <c r="J7" s="7"/>
    </row>
    <row r="8" spans="1:10" ht="35.25" customHeight="1">
      <c r="A8" s="7"/>
      <c r="B8" s="190" t="s">
        <v>10</v>
      </c>
      <c r="C8" s="310" t="s">
        <v>374</v>
      </c>
      <c r="D8" s="497" t="s">
        <v>38</v>
      </c>
      <c r="E8" s="497"/>
      <c r="F8" s="497"/>
      <c r="G8" s="497"/>
      <c r="H8" s="190" t="s">
        <v>121</v>
      </c>
      <c r="I8" s="190" t="s">
        <v>373</v>
      </c>
      <c r="J8" s="7"/>
    </row>
    <row r="9" spans="1:10" ht="32.25" customHeight="1">
      <c r="A9" s="7"/>
      <c r="B9" s="190">
        <v>1</v>
      </c>
      <c r="C9" s="368" t="s">
        <v>39</v>
      </c>
      <c r="D9" s="498" t="s">
        <v>183</v>
      </c>
      <c r="E9" s="498"/>
      <c r="F9" s="498"/>
      <c r="G9" s="498"/>
      <c r="H9" s="399">
        <f>'[1]Содержание'!H9</f>
        <v>2</v>
      </c>
      <c r="I9" s="399">
        <f>'[1]Содержание'!I9</f>
        <v>1</v>
      </c>
      <c r="J9" s="7"/>
    </row>
    <row r="10" spans="1:10" ht="15.75">
      <c r="A10" s="7"/>
      <c r="B10" s="190">
        <v>2</v>
      </c>
      <c r="C10" s="368" t="s">
        <v>40</v>
      </c>
      <c r="D10" s="498" t="s">
        <v>184</v>
      </c>
      <c r="E10" s="498"/>
      <c r="F10" s="498"/>
      <c r="G10" s="498"/>
      <c r="H10" s="399">
        <f>'[1]Содержание'!H10</f>
        <v>3</v>
      </c>
      <c r="I10" s="399">
        <f>'[1]Содержание'!I10</f>
        <v>1</v>
      </c>
      <c r="J10" s="7"/>
    </row>
    <row r="11" spans="1:10" ht="34.5" customHeight="1">
      <c r="A11" s="7"/>
      <c r="B11" s="190">
        <v>3</v>
      </c>
      <c r="C11" s="368" t="s">
        <v>41</v>
      </c>
      <c r="D11" s="498" t="s">
        <v>84</v>
      </c>
      <c r="E11" s="498"/>
      <c r="F11" s="498"/>
      <c r="G11" s="498"/>
      <c r="H11" s="399">
        <f>'[1]Содержание'!H11</f>
        <v>4</v>
      </c>
      <c r="I11" s="399">
        <f>'[1]Содержание'!I11</f>
        <v>1</v>
      </c>
      <c r="J11" s="7"/>
    </row>
    <row r="12" spans="1:10" ht="15.75">
      <c r="A12" s="7"/>
      <c r="B12" s="190">
        <v>4</v>
      </c>
      <c r="C12" s="368" t="s">
        <v>42</v>
      </c>
      <c r="D12" s="498" t="s">
        <v>185</v>
      </c>
      <c r="E12" s="498"/>
      <c r="F12" s="498"/>
      <c r="G12" s="498"/>
      <c r="H12" s="399">
        <f>'[1]Содержание'!H12</f>
        <v>5</v>
      </c>
      <c r="I12" s="399">
        <f>'[1]Содержание'!I12</f>
        <v>2</v>
      </c>
      <c r="J12" s="7"/>
    </row>
    <row r="13" spans="1:10" ht="15.75">
      <c r="A13" s="7"/>
      <c r="B13" s="190">
        <v>5</v>
      </c>
      <c r="C13" s="368" t="s">
        <v>43</v>
      </c>
      <c r="D13" s="498" t="s">
        <v>186</v>
      </c>
      <c r="E13" s="498"/>
      <c r="F13" s="498"/>
      <c r="G13" s="498"/>
      <c r="H13" s="399">
        <f>'[1]Содержание'!H13</f>
        <v>7</v>
      </c>
      <c r="I13" s="399">
        <f>'[1]Содержание'!I13</f>
        <v>2</v>
      </c>
      <c r="J13" s="7"/>
    </row>
    <row r="14" spans="1:10" ht="15.75">
      <c r="A14" s="7"/>
      <c r="B14" s="190">
        <v>6</v>
      </c>
      <c r="C14" s="368" t="s">
        <v>0</v>
      </c>
      <c r="D14" s="498" t="s">
        <v>187</v>
      </c>
      <c r="E14" s="498"/>
      <c r="F14" s="498"/>
      <c r="G14" s="498"/>
      <c r="H14" s="399">
        <f>'[1]Содержание'!H14</f>
        <v>9</v>
      </c>
      <c r="I14" s="399">
        <f>'[1]Содержание'!I14</f>
        <v>2</v>
      </c>
      <c r="J14" s="7"/>
    </row>
    <row r="15" spans="1:10" ht="48.75" customHeight="1">
      <c r="A15" s="7"/>
      <c r="B15" s="190">
        <v>7</v>
      </c>
      <c r="C15" s="368" t="s">
        <v>44</v>
      </c>
      <c r="D15" s="498" t="s">
        <v>85</v>
      </c>
      <c r="E15" s="498"/>
      <c r="F15" s="498"/>
      <c r="G15" s="498"/>
      <c r="H15" s="399">
        <f>'[1]Содержание'!H15</f>
        <v>11</v>
      </c>
      <c r="I15" s="399">
        <f>'[1]Содержание'!I15</f>
        <v>2</v>
      </c>
      <c r="J15" s="7"/>
    </row>
    <row r="16" spans="1:10" ht="32.25" customHeight="1">
      <c r="A16" s="7"/>
      <c r="B16" s="190">
        <v>8</v>
      </c>
      <c r="C16" s="368" t="s">
        <v>99</v>
      </c>
      <c r="D16" s="498" t="str">
        <f>"Отчетные  данные для расчета значения показателя качества рассмотрения заявок 
на технологическое присоединение к сети в период за "&amp;Содержание!I5&amp;" год"</f>
        <v>Отчетные  данные для расчета значения показателя качества рассмотрения заявок 
на технологическое присоединение к сети в период за 2017 год</v>
      </c>
      <c r="E16" s="498"/>
      <c r="F16" s="498"/>
      <c r="G16" s="498"/>
      <c r="H16" s="399">
        <f>'[1]Содержание'!H16</f>
        <v>13</v>
      </c>
      <c r="I16" s="399">
        <f>'[1]Содержание'!I16</f>
        <v>1</v>
      </c>
      <c r="J16" s="7"/>
    </row>
    <row r="17" spans="1:10" ht="32.25" customHeight="1">
      <c r="A17" s="7"/>
      <c r="B17" s="190">
        <v>9</v>
      </c>
      <c r="C17" s="368" t="s">
        <v>367</v>
      </c>
      <c r="D17" s="498" t="str">
        <f>"Отчетные  данные для расчета значения показателя качества исполнения договоров 
об осуществлении технологического присоединения заявителей к сети, в период "&amp;Содержание!I5&amp;" год"</f>
        <v>Отчетные  данные для расчета значения показателя качества исполнения договоров 
об осуществлении технологического присоединения заявителей к сети, в период 2017 год</v>
      </c>
      <c r="E17" s="498"/>
      <c r="F17" s="498"/>
      <c r="G17" s="498"/>
      <c r="H17" s="399">
        <f>'[1]Содержание'!H17</f>
        <v>14</v>
      </c>
      <c r="I17" s="399">
        <f>'[1]Содержание'!I17</f>
        <v>1</v>
      </c>
      <c r="J17" s="7"/>
    </row>
    <row r="18" spans="1:10" ht="35.25" customHeight="1">
      <c r="A18" s="7"/>
      <c r="B18" s="190">
        <v>10</v>
      </c>
      <c r="C18" s="368" t="s">
        <v>368</v>
      </c>
      <c r="D18" s="498" t="str">
        <f>"Отчетные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"&amp;Содержание!I5&amp;" года"</f>
        <v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2017 года</v>
      </c>
      <c r="E18" s="498"/>
      <c r="F18" s="498"/>
      <c r="G18" s="498"/>
      <c r="H18" s="399">
        <f>'[1]Содержание'!H18</f>
        <v>15</v>
      </c>
      <c r="I18" s="399">
        <f>'[1]Содержание'!I18</f>
        <v>1</v>
      </c>
      <c r="J18" s="7"/>
    </row>
    <row r="19" spans="1:10" ht="15.75">
      <c r="A19" s="7"/>
      <c r="B19" s="190">
        <v>11</v>
      </c>
      <c r="C19" s="368" t="s">
        <v>45</v>
      </c>
      <c r="D19" s="498" t="s">
        <v>46</v>
      </c>
      <c r="E19" s="498"/>
      <c r="F19" s="498"/>
      <c r="G19" s="498"/>
      <c r="H19" s="399">
        <f>'[1]Содержание'!H19</f>
        <v>16</v>
      </c>
      <c r="I19" s="399">
        <f>'[1]Содержание'!I19</f>
        <v>1</v>
      </c>
      <c r="J19" s="7"/>
    </row>
    <row r="20" spans="1:10" ht="15.75">
      <c r="A20" s="7"/>
      <c r="B20" s="190">
        <v>12</v>
      </c>
      <c r="C20" s="368" t="s">
        <v>47</v>
      </c>
      <c r="D20" s="498" t="s">
        <v>48</v>
      </c>
      <c r="E20" s="498"/>
      <c r="F20" s="498"/>
      <c r="G20" s="498"/>
      <c r="H20" s="399">
        <f>'[1]Содержание'!H20</f>
        <v>17</v>
      </c>
      <c r="I20" s="399">
        <f>'[1]Содержание'!I20</f>
        <v>1</v>
      </c>
      <c r="J20" s="7"/>
    </row>
    <row r="21" spans="1:10" ht="33.75" customHeight="1">
      <c r="A21" s="7"/>
      <c r="B21" s="190">
        <v>13</v>
      </c>
      <c r="C21" s="368" t="s">
        <v>434</v>
      </c>
      <c r="D21" s="498" t="str">
        <f>"Журнал учета данных первичной информации по всем прекращениям передачи электрической энергии произошедших на объектах электросетевых организаций за "&amp;I5&amp;" год"</f>
        <v>Журнал учета данных первичной информации по всем прекращениям передачи электрической энергии произошедших на объектах электросетевых организаций за 2017 год</v>
      </c>
      <c r="E21" s="498"/>
      <c r="F21" s="498"/>
      <c r="G21" s="498"/>
      <c r="H21" s="399">
        <f>'[1]Содержание'!H21</f>
        <v>18</v>
      </c>
      <c r="I21" s="399">
        <f>'[1]Содержание'!I21</f>
        <v>3</v>
      </c>
      <c r="J21" s="7"/>
    </row>
    <row r="22" spans="1:10" ht="47.25" customHeight="1">
      <c r="A22" s="7"/>
      <c r="B22" s="190">
        <v>14</v>
      </c>
      <c r="C22" s="368" t="s">
        <v>435</v>
      </c>
      <c r="D22" s="498" t="str">
        <f>"Расчет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 "&amp;I5&amp;" год "</f>
        <v>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 2017 год </v>
      </c>
      <c r="E22" s="498"/>
      <c r="F22" s="498"/>
      <c r="G22" s="498"/>
      <c r="H22" s="399">
        <f>'[1]Содержание'!H22</f>
        <v>21</v>
      </c>
      <c r="I22" s="399">
        <f>'[1]Содержание'!I22</f>
        <v>1</v>
      </c>
      <c r="J22" s="7"/>
    </row>
    <row r="23" spans="1:10" ht="15.75">
      <c r="A23" s="7"/>
      <c r="B23" s="190">
        <v>15</v>
      </c>
      <c r="C23" s="368" t="s">
        <v>436</v>
      </c>
      <c r="D23" s="498" t="str">
        <f>"Фактические и плановые значения показателей надежности и качества услуг за "&amp;Содержание!I5&amp;" год"</f>
        <v>Фактические и плановые значения показателей надежности и качества услуг за 2017 год</v>
      </c>
      <c r="E23" s="498"/>
      <c r="F23" s="498"/>
      <c r="G23" s="498"/>
      <c r="H23" s="399">
        <f>'[1]Содержание'!H23</f>
        <v>22</v>
      </c>
      <c r="I23" s="399">
        <f>'[1]Содержание'!I23</f>
        <v>1</v>
      </c>
      <c r="J23" s="7"/>
    </row>
    <row r="24" spans="1:10" ht="30">
      <c r="A24" s="7"/>
      <c r="B24" s="190">
        <v>16</v>
      </c>
      <c r="C24" s="495" t="s">
        <v>437</v>
      </c>
      <c r="D24" s="498" t="s">
        <v>438</v>
      </c>
      <c r="E24" s="498"/>
      <c r="F24" s="498"/>
      <c r="G24" s="498"/>
      <c r="H24" s="399">
        <f>'[1]Содержание'!H24</f>
        <v>23</v>
      </c>
      <c r="I24" s="399">
        <f>'[1]Содержание'!I24</f>
        <v>2</v>
      </c>
      <c r="J24" s="7"/>
    </row>
    <row r="25" spans="1:10" s="35" customFormat="1" ht="21" customHeight="1">
      <c r="A25" s="7"/>
      <c r="B25" s="182"/>
      <c r="C25" s="7"/>
      <c r="D25" s="7"/>
      <c r="E25" s="7"/>
      <c r="F25" s="7"/>
      <c r="G25" s="7"/>
      <c r="H25" s="7"/>
      <c r="I25" s="7"/>
      <c r="J25" s="7"/>
    </row>
    <row r="26" spans="1:10" ht="15.75">
      <c r="A26" s="7"/>
      <c r="B26" s="8"/>
      <c r="C26" s="445" t="s">
        <v>455</v>
      </c>
      <c r="F26" s="8" t="s">
        <v>50</v>
      </c>
      <c r="G26" s="446" t="s">
        <v>454</v>
      </c>
      <c r="H26" s="8"/>
      <c r="I26" s="8"/>
      <c r="J26" s="7"/>
    </row>
    <row r="27" spans="1:10" ht="15.75">
      <c r="A27" s="7"/>
      <c r="B27" s="8"/>
      <c r="C27" s="107" t="s">
        <v>8</v>
      </c>
      <c r="F27" s="43" t="s">
        <v>9</v>
      </c>
      <c r="G27" s="43" t="s">
        <v>20</v>
      </c>
      <c r="H27" s="43"/>
      <c r="I27" s="43"/>
      <c r="J27" s="7"/>
    </row>
    <row r="28" spans="1:10" s="35" customFormat="1" ht="15.75">
      <c r="A28" s="7"/>
      <c r="B28" s="182"/>
      <c r="C28" s="7"/>
      <c r="D28" s="7"/>
      <c r="E28" s="7"/>
      <c r="F28" s="7"/>
      <c r="G28" s="9"/>
      <c r="H28" s="7"/>
      <c r="I28" s="7"/>
      <c r="J28" s="7"/>
    </row>
  </sheetData>
  <sheetProtection password="CA0A" sheet="1" formatCells="0" formatColumns="0" formatRows="0"/>
  <mergeCells count="17">
    <mergeCell ref="D24:G24"/>
    <mergeCell ref="D20:G20"/>
    <mergeCell ref="D17:G17"/>
    <mergeCell ref="D18:G18"/>
    <mergeCell ref="D21:G21"/>
    <mergeCell ref="D22:G22"/>
    <mergeCell ref="D23:G23"/>
    <mergeCell ref="D8:G8"/>
    <mergeCell ref="D9:G9"/>
    <mergeCell ref="D10:G10"/>
    <mergeCell ref="D11:G11"/>
    <mergeCell ref="D19:G19"/>
    <mergeCell ref="D12:G12"/>
    <mergeCell ref="D13:G13"/>
    <mergeCell ref="D14:G14"/>
    <mergeCell ref="D15:G15"/>
    <mergeCell ref="D16:G16"/>
  </mergeCells>
  <printOptions horizontalCentered="1"/>
  <pageMargins left="0.7874015748031497" right="0.2362204724409449" top="0.2362204724409449" bottom="0.2755905511811024" header="0.15748031496062992" footer="0.15748031496062992"/>
  <pageSetup horizontalDpi="600" verticalDpi="600" orientation="landscape" paperSize="9" scale="93" r:id="rId1"/>
  <headerFooter alignWithMargins="0">
    <oddHeader>&amp;R&amp;8&amp;P</oddHeader>
    <oddFooter>&amp;L&amp;8&amp;F 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10" sqref="D10"/>
    </sheetView>
  </sheetViews>
  <sheetFormatPr defaultColWidth="9.00390625" defaultRowHeight="15.75"/>
  <cols>
    <col min="1" max="1" width="0.875" style="127" customWidth="1"/>
    <col min="2" max="2" width="2.75390625" style="154" bestFit="1" customWidth="1"/>
    <col min="3" max="3" width="63.875" style="154" customWidth="1"/>
    <col min="4" max="4" width="14.00390625" style="154" customWidth="1"/>
    <col min="5" max="5" width="0.6171875" style="154" customWidth="1"/>
    <col min="6" max="6" width="0.875" style="127" customWidth="1"/>
    <col min="7" max="16384" width="9.00390625" style="154" customWidth="1"/>
  </cols>
  <sheetData>
    <row r="1" spans="3:4" ht="16.5" customHeight="1">
      <c r="C1" s="551" t="str">
        <f>"Форма  3.2  -  Отчетные  данные для расчета значения показателя качества
 исполнения договоров об осуществлении технологического присоединения
 заявителей к сети, в период "&amp;Содержание!I5&amp;" год"</f>
        <v>Форма  3.2  -  Отчетные  данные для расчета значения показателя качества
 исполнения договоров об осуществлении технологического присоединения
 заявителей к сети, в период 2017 год</v>
      </c>
      <c r="D1" s="551"/>
    </row>
    <row r="2" spans="3:4" ht="35.25" customHeight="1">
      <c r="C2" s="551"/>
      <c r="D2" s="551"/>
    </row>
    <row r="3" spans="3:4" ht="13.5" customHeight="1">
      <c r="C3" s="339"/>
      <c r="D3" s="339"/>
    </row>
    <row r="4" ht="15.75">
      <c r="C4" s="32" t="str">
        <f>Содержание!$C$5</f>
        <v>ООО "Томские электрические сети"</v>
      </c>
    </row>
    <row r="5" ht="15.75">
      <c r="C5" s="3" t="s">
        <v>15</v>
      </c>
    </row>
    <row r="6" spans="1:6" s="31" customFormat="1" ht="15.75">
      <c r="A6" s="127"/>
      <c r="B6" s="333" t="s">
        <v>10</v>
      </c>
      <c r="C6" s="316" t="s">
        <v>265</v>
      </c>
      <c r="D6" s="316" t="s">
        <v>207</v>
      </c>
      <c r="F6" s="127"/>
    </row>
    <row r="7" spans="1:6" s="31" customFormat="1" ht="15.75">
      <c r="A7" s="127"/>
      <c r="B7" s="333">
        <v>1</v>
      </c>
      <c r="C7" s="333">
        <v>2</v>
      </c>
      <c r="D7" s="333">
        <v>3</v>
      </c>
      <c r="F7" s="127"/>
    </row>
    <row r="8" spans="1:6" s="31" customFormat="1" ht="66">
      <c r="A8" s="127"/>
      <c r="B8" s="316" t="s">
        <v>177</v>
      </c>
      <c r="C8" s="318" t="s">
        <v>205</v>
      </c>
      <c r="D8" s="440">
        <v>19</v>
      </c>
      <c r="F8" s="127"/>
    </row>
    <row r="9" spans="1:6" s="31" customFormat="1" ht="83.25">
      <c r="A9" s="127"/>
      <c r="B9" s="316" t="s">
        <v>174</v>
      </c>
      <c r="C9" s="318" t="s">
        <v>206</v>
      </c>
      <c r="D9" s="440">
        <v>0</v>
      </c>
      <c r="F9" s="127"/>
    </row>
    <row r="10" spans="1:6" s="31" customFormat="1" ht="38.25" customHeight="1">
      <c r="A10" s="127"/>
      <c r="B10" s="316" t="s">
        <v>178</v>
      </c>
      <c r="C10" s="318" t="s">
        <v>261</v>
      </c>
      <c r="D10" s="441">
        <f>IF(D8=0,1,D8/MAX(1,(D8-D9)))</f>
        <v>1</v>
      </c>
      <c r="F10" s="127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15.75">
      <c r="A12" s="334"/>
      <c r="C12" s="392" t="str">
        <f>Содержание!$C$26</f>
        <v>Директор</v>
      </c>
      <c r="D12" s="11" t="str">
        <f>Содержание!$G$26</f>
        <v>Осипов Д.С.</v>
      </c>
      <c r="E12" s="30"/>
      <c r="F12" s="30"/>
      <c r="G12" s="334"/>
    </row>
    <row r="13" spans="1:7" s="31" customFormat="1" ht="15.75">
      <c r="A13" s="334"/>
      <c r="C13" s="33" t="s">
        <v>204</v>
      </c>
      <c r="D13" s="33" t="s">
        <v>20</v>
      </c>
      <c r="E13" s="30"/>
      <c r="F13" s="30"/>
      <c r="G13" s="334"/>
    </row>
    <row r="14" s="334" customFormat="1" ht="5.25"/>
    <row r="15" spans="1:7" s="31" customFormat="1" ht="15.75">
      <c r="A15" s="334"/>
      <c r="E15" s="334"/>
      <c r="G15" s="334"/>
    </row>
    <row r="34" spans="1:6" s="338" customFormat="1" ht="15.75">
      <c r="A34" s="337"/>
      <c r="C34" s="8" t="e">
        <f>Содержание!#REF!</f>
        <v>#REF!</v>
      </c>
      <c r="F34" s="10" t="str">
        <f>Содержание!$G$26</f>
        <v>Осипов Д.С.</v>
      </c>
    </row>
    <row r="35" spans="3:6" ht="36.75">
      <c r="C35" s="125" t="s">
        <v>8</v>
      </c>
      <c r="F35" s="289" t="s">
        <v>20</v>
      </c>
    </row>
  </sheetData>
  <sheetProtection password="CA0A" sheet="1"/>
  <mergeCells count="1">
    <mergeCell ref="C1:D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0"/>
  <sheetViews>
    <sheetView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G10" sqref="G10"/>
    </sheetView>
  </sheetViews>
  <sheetFormatPr defaultColWidth="9.00390625" defaultRowHeight="15.75"/>
  <cols>
    <col min="1" max="1" width="0.875" style="127" customWidth="1"/>
    <col min="2" max="2" width="6.25390625" style="154" bestFit="1" customWidth="1"/>
    <col min="3" max="3" width="62.625" style="154" customWidth="1"/>
    <col min="4" max="4" width="13.625" style="154" customWidth="1"/>
    <col min="5" max="5" width="0.875" style="154" customWidth="1"/>
    <col min="6" max="6" width="0.875" style="127" customWidth="1"/>
    <col min="7" max="16384" width="9.00390625" style="154" customWidth="1"/>
  </cols>
  <sheetData>
    <row r="1" spans="3:4" ht="16.5" customHeight="1">
      <c r="C1" s="551" t="str">
        <f>"Форма 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"&amp;Содержание!I5&amp;" года"</f>
        <v>Форма 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2017 года</v>
      </c>
      <c r="D1" s="551"/>
    </row>
    <row r="2" spans="3:4" ht="31.5" customHeight="1">
      <c r="C2" s="551"/>
      <c r="D2" s="551"/>
    </row>
    <row r="3" spans="3:4" s="28" customFormat="1" ht="5.25">
      <c r="C3" s="332"/>
      <c r="D3" s="332"/>
    </row>
    <row r="4" ht="22.5" customHeight="1">
      <c r="C4" s="32" t="str">
        <f>Содержание!$C$5</f>
        <v>ООО "Томские электрические сети"</v>
      </c>
    </row>
    <row r="5" ht="15.75">
      <c r="C5" s="3" t="s">
        <v>15</v>
      </c>
    </row>
    <row r="6" spans="1:6" s="31" customFormat="1" ht="15.75">
      <c r="A6" s="127"/>
      <c r="B6" s="333" t="s">
        <v>10</v>
      </c>
      <c r="C6" s="316" t="s">
        <v>266</v>
      </c>
      <c r="D6" s="316" t="s">
        <v>4</v>
      </c>
      <c r="F6" s="127"/>
    </row>
    <row r="7" spans="1:6" s="31" customFormat="1" ht="15.75">
      <c r="A7" s="127"/>
      <c r="B7" s="333">
        <v>1</v>
      </c>
      <c r="C7" s="333">
        <v>2</v>
      </c>
      <c r="D7" s="333">
        <v>3</v>
      </c>
      <c r="F7" s="127"/>
    </row>
    <row r="8" spans="1:8" s="31" customFormat="1" ht="47.25">
      <c r="A8" s="127"/>
      <c r="B8" s="316" t="s">
        <v>177</v>
      </c>
      <c r="C8" s="318" t="s">
        <v>386</v>
      </c>
      <c r="D8" s="440">
        <v>51</v>
      </c>
      <c r="F8" s="127"/>
      <c r="H8" s="370"/>
    </row>
    <row r="9" spans="1:8" s="31" customFormat="1" ht="78.75">
      <c r="A9" s="127"/>
      <c r="B9" s="316" t="s">
        <v>174</v>
      </c>
      <c r="C9" s="318" t="s">
        <v>385</v>
      </c>
      <c r="D9" s="440">
        <v>0</v>
      </c>
      <c r="F9" s="127"/>
      <c r="H9" s="370"/>
    </row>
    <row r="10" spans="1:6" s="31" customFormat="1" ht="56.25" customHeight="1">
      <c r="A10" s="127"/>
      <c r="B10" s="316" t="s">
        <v>178</v>
      </c>
      <c r="C10" s="318" t="s">
        <v>402</v>
      </c>
      <c r="D10" s="441">
        <f>IF(D8=0,1,D8/MAX(1,(D8-D9)))</f>
        <v>1</v>
      </c>
      <c r="F10" s="127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38.25" customHeight="1">
      <c r="A12" s="334"/>
      <c r="B12" s="552" t="s">
        <v>263</v>
      </c>
      <c r="C12" s="553"/>
      <c r="D12" s="554"/>
      <c r="E12" s="30"/>
      <c r="F12" s="30"/>
      <c r="G12" s="334"/>
    </row>
    <row r="13" spans="1:7" s="31" customFormat="1" ht="19.5">
      <c r="A13" s="334"/>
      <c r="B13" s="335"/>
      <c r="C13" s="273" t="s">
        <v>267</v>
      </c>
      <c r="D13" s="273"/>
      <c r="E13" s="30"/>
      <c r="F13" s="30"/>
      <c r="G13" s="334"/>
    </row>
    <row r="14" spans="1:7" s="31" customFormat="1" ht="19.5">
      <c r="A14" s="334"/>
      <c r="B14" s="336" t="s">
        <v>268</v>
      </c>
      <c r="C14" s="272" t="str">
        <f>"= 0,4 * "&amp;ROUND('Форма.3.1'!D10,3)&amp;" + 0,4 * "&amp;ROUND('Форма.3.2'!D10,3)&amp;" + 0,2 * "&amp;ROUND('Форма.3.3'!D10,3)&amp;"  = "</f>
        <v>= 0,4 * 1 + 0,4 * 1 + 0,2 * 1  = </v>
      </c>
      <c r="D14" s="442">
        <f>0.4*'Форма.3.1'!D10+0.4*'Форма.3.2'!D10+0.2*'Форма.3.3'!D10</f>
        <v>1</v>
      </c>
      <c r="E14" s="30"/>
      <c r="F14" s="30"/>
      <c r="G14" s="334"/>
    </row>
    <row r="15" spans="1:7" s="31" customFormat="1" ht="15.75">
      <c r="A15" s="334"/>
      <c r="C15" s="8"/>
      <c r="D15" s="8"/>
      <c r="E15" s="30"/>
      <c r="F15" s="30"/>
      <c r="G15" s="334"/>
    </row>
    <row r="16" spans="1:7" s="31" customFormat="1" ht="15.75">
      <c r="A16" s="334"/>
      <c r="C16" s="8"/>
      <c r="D16" s="8"/>
      <c r="E16" s="30"/>
      <c r="F16" s="30"/>
      <c r="G16" s="334"/>
    </row>
    <row r="17" spans="1:7" s="31" customFormat="1" ht="15.75">
      <c r="A17" s="334"/>
      <c r="C17" s="392" t="str">
        <f>Содержание!$C$26</f>
        <v>Директор</v>
      </c>
      <c r="D17" s="11" t="str">
        <f>Содержание!$G$26</f>
        <v>Осипов Д.С.</v>
      </c>
      <c r="E17" s="30"/>
      <c r="F17" s="30"/>
      <c r="G17" s="334"/>
    </row>
    <row r="18" spans="1:7" s="31" customFormat="1" ht="15.75">
      <c r="A18" s="334"/>
      <c r="C18" s="33" t="s">
        <v>204</v>
      </c>
      <c r="D18" s="33" t="s">
        <v>20</v>
      </c>
      <c r="E18" s="30"/>
      <c r="F18" s="30"/>
      <c r="G18" s="334"/>
    </row>
    <row r="19" s="334" customFormat="1" ht="5.25"/>
    <row r="20" spans="1:7" s="31" customFormat="1" ht="15.75">
      <c r="A20" s="334"/>
      <c r="E20" s="334"/>
      <c r="G20" s="334"/>
    </row>
    <row r="39" spans="1:6" s="338" customFormat="1" ht="15.75">
      <c r="A39" s="337"/>
      <c r="C39" s="8" t="e">
        <f>Содержание!#REF!</f>
        <v>#REF!</v>
      </c>
      <c r="F39" s="10" t="str">
        <f>Содержание!$G$26</f>
        <v>Осипов Д.С.</v>
      </c>
    </row>
    <row r="40" spans="3:6" ht="36.75">
      <c r="C40" s="125" t="s">
        <v>8</v>
      </c>
      <c r="F40" s="289" t="s">
        <v>20</v>
      </c>
    </row>
  </sheetData>
  <sheetProtection password="CA0A" sheet="1"/>
  <mergeCells count="2">
    <mergeCell ref="C1:D2"/>
    <mergeCell ref="B12:D1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zoomScalePageLayoutView="0" workbookViewId="0" topLeftCell="A1">
      <pane xSplit="4" ySplit="7" topLeftCell="E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E17" sqref="E17"/>
    </sheetView>
  </sheetViews>
  <sheetFormatPr defaultColWidth="9.00390625" defaultRowHeight="15.75"/>
  <cols>
    <col min="1" max="1" width="0.875" style="41" customWidth="1"/>
    <col min="2" max="2" width="3.00390625" style="9" customWidth="1"/>
    <col min="3" max="3" width="42.75390625" style="9" customWidth="1"/>
    <col min="4" max="4" width="16.00390625" style="9" customWidth="1"/>
    <col min="5" max="5" width="18.375" style="9" customWidth="1"/>
    <col min="6" max="6" width="3.50390625" style="326" customWidth="1"/>
    <col min="7" max="7" width="9.00390625" style="206" customWidth="1"/>
    <col min="8" max="16384" width="9.00390625" style="9" customWidth="1"/>
  </cols>
  <sheetData>
    <row r="1" spans="1:7" s="35" customFormat="1" ht="5.25">
      <c r="A1" s="34"/>
      <c r="B1" s="34"/>
      <c r="C1" s="34"/>
      <c r="D1" s="34"/>
      <c r="E1" s="34"/>
      <c r="F1" s="205"/>
      <c r="G1" s="205"/>
    </row>
    <row r="2" spans="1:6" ht="15.75">
      <c r="A2" s="36"/>
      <c r="B2" s="37" t="s">
        <v>22</v>
      </c>
      <c r="C2" s="37"/>
      <c r="D2" s="37"/>
      <c r="E2" s="37"/>
      <c r="F2" s="323"/>
    </row>
    <row r="3" spans="1:6" ht="15.75">
      <c r="A3" s="36"/>
      <c r="B3" s="37"/>
      <c r="C3" s="37" t="s">
        <v>21</v>
      </c>
      <c r="D3" s="37"/>
      <c r="E3" s="37"/>
      <c r="F3" s="323"/>
    </row>
    <row r="4" spans="1:7" ht="15.75">
      <c r="A4" s="5"/>
      <c r="C4" s="38" t="str">
        <f>Содержание!$C$5</f>
        <v>ООО "Томские электрические сети"</v>
      </c>
      <c r="D4" s="2"/>
      <c r="E4" s="2"/>
      <c r="F4" s="324"/>
      <c r="G4" s="207"/>
    </row>
    <row r="5" spans="1:7" ht="15.75">
      <c r="A5" s="5"/>
      <c r="C5" s="3" t="s">
        <v>15</v>
      </c>
      <c r="D5" s="2"/>
      <c r="E5" s="2"/>
      <c r="F5" s="324"/>
      <c r="G5" s="207"/>
    </row>
    <row r="6" spans="1:7" s="35" customFormat="1" ht="5.25">
      <c r="A6" s="34"/>
      <c r="B6" s="34"/>
      <c r="C6" s="34"/>
      <c r="D6" s="34"/>
      <c r="E6" s="34"/>
      <c r="F6" s="205"/>
      <c r="G6" s="205"/>
    </row>
    <row r="7" spans="1:7" ht="48.75" customHeight="1">
      <c r="A7" s="34"/>
      <c r="B7" s="39" t="s">
        <v>10</v>
      </c>
      <c r="C7" s="39" t="s">
        <v>11</v>
      </c>
      <c r="D7" s="39" t="s">
        <v>3</v>
      </c>
      <c r="E7" s="444" t="s">
        <v>458</v>
      </c>
      <c r="F7" s="325"/>
      <c r="G7" s="327"/>
    </row>
    <row r="8" spans="1:7" ht="51.75" customHeight="1">
      <c r="A8" s="34"/>
      <c r="B8" s="231" t="s">
        <v>177</v>
      </c>
      <c r="C8" s="229" t="s">
        <v>168</v>
      </c>
      <c r="D8" s="315" t="s">
        <v>12</v>
      </c>
      <c r="E8" s="449">
        <f>'Форма.1.2'!R9</f>
        <v>0.1585052316890882</v>
      </c>
      <c r="F8" s="325"/>
      <c r="G8" s="327"/>
    </row>
    <row r="9" spans="1:7" ht="34.5">
      <c r="A9" s="34"/>
      <c r="B9" s="231" t="s">
        <v>174</v>
      </c>
      <c r="C9" s="229" t="s">
        <v>225</v>
      </c>
      <c r="D9" s="230" t="s">
        <v>222</v>
      </c>
      <c r="E9" s="443">
        <f>'[1]Форма.4.1'!E9</f>
        <v>1</v>
      </c>
      <c r="F9" s="325"/>
      <c r="G9" s="327"/>
    </row>
    <row r="10" spans="1:7" ht="50.25">
      <c r="A10" s="34"/>
      <c r="B10" s="231" t="s">
        <v>178</v>
      </c>
      <c r="C10" s="229" t="s">
        <v>224</v>
      </c>
      <c r="D10" s="230" t="s">
        <v>223</v>
      </c>
      <c r="E10" s="443">
        <f>E13</f>
        <v>0.8975</v>
      </c>
      <c r="F10" s="325"/>
      <c r="G10" s="327"/>
    </row>
    <row r="11" spans="1:7" ht="36">
      <c r="A11" s="34"/>
      <c r="B11" s="231" t="s">
        <v>179</v>
      </c>
      <c r="C11" s="40" t="s">
        <v>188</v>
      </c>
      <c r="D11" s="230" t="s">
        <v>377</v>
      </c>
      <c r="E11" s="449">
        <f>E8</f>
        <v>0.1585052316890882</v>
      </c>
      <c r="F11" s="325"/>
      <c r="G11" s="327"/>
    </row>
    <row r="12" spans="1:7" ht="36">
      <c r="A12" s="34"/>
      <c r="B12" s="231" t="s">
        <v>175</v>
      </c>
      <c r="C12" s="40" t="s">
        <v>189</v>
      </c>
      <c r="D12" s="230" t="s">
        <v>377</v>
      </c>
      <c r="E12" s="443">
        <f>'[1]Форма.4.1'!E12</f>
        <v>1</v>
      </c>
      <c r="F12" s="325"/>
      <c r="G12" s="327"/>
    </row>
    <row r="13" spans="1:7" ht="36">
      <c r="A13" s="34"/>
      <c r="B13" s="231" t="s">
        <v>176</v>
      </c>
      <c r="C13" s="40" t="s">
        <v>190</v>
      </c>
      <c r="D13" s="230" t="s">
        <v>377</v>
      </c>
      <c r="E13" s="443">
        <f>'[1]Форма.4.1'!E13</f>
        <v>0.8975</v>
      </c>
      <c r="F13" s="325"/>
      <c r="G13" s="327"/>
    </row>
    <row r="14" spans="1:7" ht="50.25">
      <c r="A14" s="34"/>
      <c r="B14" s="231" t="s">
        <v>180</v>
      </c>
      <c r="C14" s="40" t="s">
        <v>191</v>
      </c>
      <c r="D14" s="315" t="s">
        <v>13</v>
      </c>
      <c r="E14" s="443">
        <v>0</v>
      </c>
      <c r="F14" s="325"/>
      <c r="G14" s="327"/>
    </row>
    <row r="15" spans="1:6" ht="97.5">
      <c r="A15" s="34"/>
      <c r="B15" s="231" t="s">
        <v>226</v>
      </c>
      <c r="C15" s="229" t="s">
        <v>192</v>
      </c>
      <c r="D15" s="315" t="s">
        <v>13</v>
      </c>
      <c r="E15" s="231" t="s">
        <v>193</v>
      </c>
      <c r="F15" s="325"/>
    </row>
    <row r="16" spans="1:7" ht="66">
      <c r="A16" s="34"/>
      <c r="B16" s="231" t="s">
        <v>227</v>
      </c>
      <c r="C16" s="229" t="s">
        <v>229</v>
      </c>
      <c r="D16" s="39" t="s">
        <v>13</v>
      </c>
      <c r="E16" s="443">
        <v>0</v>
      </c>
      <c r="F16" s="325"/>
      <c r="G16" s="327"/>
    </row>
    <row r="17" spans="1:7" ht="66">
      <c r="A17" s="34"/>
      <c r="B17" s="231" t="s">
        <v>228</v>
      </c>
      <c r="C17" s="229" t="s">
        <v>230</v>
      </c>
      <c r="D17" s="39" t="s">
        <v>13</v>
      </c>
      <c r="E17" s="443">
        <v>0</v>
      </c>
      <c r="F17" s="325"/>
      <c r="G17" s="327"/>
    </row>
    <row r="18" spans="1:6" ht="36.75" customHeight="1">
      <c r="A18" s="34"/>
      <c r="B18" s="198"/>
      <c r="C18" s="92"/>
      <c r="D18" s="198"/>
      <c r="E18" s="328"/>
      <c r="F18" s="205"/>
    </row>
    <row r="19" spans="1:7" s="35" customFormat="1" ht="5.25">
      <c r="A19" s="34"/>
      <c r="B19" s="34"/>
      <c r="C19" s="34"/>
      <c r="D19" s="34"/>
      <c r="E19" s="34"/>
      <c r="F19" s="205"/>
      <c r="G19" s="205"/>
    </row>
    <row r="20" spans="3:5" ht="15.75">
      <c r="C20" s="392" t="str">
        <f>Содержание!$C$26</f>
        <v>Директор</v>
      </c>
      <c r="D20" s="8" t="str">
        <f>Содержание!$G$26</f>
        <v>Осипов Д.С.</v>
      </c>
      <c r="E20" s="42" t="s">
        <v>49</v>
      </c>
    </row>
    <row r="21" spans="3:5" ht="15.75">
      <c r="C21" s="312" t="s">
        <v>194</v>
      </c>
      <c r="D21" s="43" t="s">
        <v>20</v>
      </c>
      <c r="E21" s="42" t="s">
        <v>9</v>
      </c>
    </row>
    <row r="22" spans="6:7" s="41" customFormat="1" ht="5.25">
      <c r="F22" s="326"/>
      <c r="G22" s="208"/>
    </row>
  </sheetData>
  <sheetProtection password="CA0A" sheet="1" formatCells="0" formatColumns="0" formatRows="0"/>
  <printOptions horizontalCentered="1"/>
  <pageMargins left="0.7874015748031497" right="0.2362204724409449" top="0.64" bottom="0.38" header="0.5118110236220472" footer="0.16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zoomScalePageLayoutView="0" workbookViewId="0" topLeftCell="A1">
      <pane xSplit="3" ySplit="6" topLeftCell="D7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H10" sqref="H10"/>
    </sheetView>
  </sheetViews>
  <sheetFormatPr defaultColWidth="9.00390625" defaultRowHeight="15.75"/>
  <cols>
    <col min="1" max="1" width="0.875" style="27" customWidth="1"/>
    <col min="2" max="2" width="33.625" style="31" customWidth="1"/>
    <col min="3" max="3" width="13.50390625" style="31" customWidth="1"/>
    <col min="4" max="4" width="32.375" style="31" customWidth="1"/>
    <col min="5" max="5" width="0.875" style="27" customWidth="1"/>
    <col min="6" max="6" width="2.00390625" style="320" customWidth="1"/>
    <col min="7" max="7" width="9.00390625" style="330" customWidth="1"/>
    <col min="8" max="16384" width="9.00390625" style="31" customWidth="1"/>
  </cols>
  <sheetData>
    <row r="1" spans="1:7" s="27" customFormat="1" ht="5.25">
      <c r="A1" s="26"/>
      <c r="B1" s="26"/>
      <c r="C1" s="26"/>
      <c r="D1" s="26"/>
      <c r="E1" s="26"/>
      <c r="F1" s="319"/>
      <c r="G1" s="329"/>
    </row>
    <row r="2" spans="1:5" ht="15.75">
      <c r="A2" s="28"/>
      <c r="B2" s="29" t="s">
        <v>1</v>
      </c>
      <c r="C2" s="30"/>
      <c r="D2" s="30"/>
      <c r="E2" s="28"/>
    </row>
    <row r="3" spans="1:7" ht="15.75">
      <c r="A3" s="5"/>
      <c r="C3" s="32" t="str">
        <f>Содержание!$C$5</f>
        <v>ООО "Томские электрические сети"</v>
      </c>
      <c r="D3" s="2"/>
      <c r="E3" s="2"/>
      <c r="F3" s="321"/>
      <c r="G3" s="331"/>
    </row>
    <row r="4" spans="1:7" ht="15.75">
      <c r="A4" s="5"/>
      <c r="C4" s="3" t="s">
        <v>15</v>
      </c>
      <c r="D4" s="2"/>
      <c r="E4" s="2"/>
      <c r="F4" s="321"/>
      <c r="G4" s="331"/>
    </row>
    <row r="5" spans="1:5" ht="47.25">
      <c r="A5" s="28"/>
      <c r="B5" s="316" t="s">
        <v>2</v>
      </c>
      <c r="C5" s="316" t="s">
        <v>101</v>
      </c>
      <c r="D5" s="444" t="str">
        <f>'Форма.4.1'!E7</f>
        <v>Плановые значения на 2019 год</v>
      </c>
      <c r="E5" s="28"/>
    </row>
    <row r="6" spans="1:6" ht="105">
      <c r="A6" s="28"/>
      <c r="B6" s="317" t="s">
        <v>100</v>
      </c>
      <c r="C6" s="316" t="s">
        <v>5</v>
      </c>
      <c r="D6" s="318" t="s">
        <v>378</v>
      </c>
      <c r="E6" s="28"/>
      <c r="F6" s="322" t="s">
        <v>379</v>
      </c>
    </row>
    <row r="7" spans="1:6" ht="63">
      <c r="A7" s="28"/>
      <c r="B7" s="317" t="s">
        <v>6</v>
      </c>
      <c r="C7" s="316" t="s">
        <v>5</v>
      </c>
      <c r="D7" s="231" t="s">
        <v>231</v>
      </c>
      <c r="E7" s="28"/>
      <c r="F7" s="322" t="s">
        <v>380</v>
      </c>
    </row>
    <row r="8" spans="1:6" ht="60">
      <c r="A8" s="28"/>
      <c r="B8" s="317" t="s">
        <v>232</v>
      </c>
      <c r="C8" s="316" t="s">
        <v>5</v>
      </c>
      <c r="D8" s="231" t="s">
        <v>233</v>
      </c>
      <c r="E8" s="28"/>
      <c r="F8" s="322" t="s">
        <v>380</v>
      </c>
    </row>
    <row r="9" spans="1:6" ht="60">
      <c r="A9" s="28"/>
      <c r="B9" s="317" t="s">
        <v>234</v>
      </c>
      <c r="C9" s="316" t="s">
        <v>5</v>
      </c>
      <c r="D9" s="231" t="s">
        <v>235</v>
      </c>
      <c r="E9" s="28"/>
      <c r="F9" s="322" t="s">
        <v>380</v>
      </c>
    </row>
    <row r="10" spans="1:6" ht="60">
      <c r="A10" s="28"/>
      <c r="B10" s="317" t="s">
        <v>236</v>
      </c>
      <c r="C10" s="316" t="s">
        <v>7</v>
      </c>
      <c r="D10" s="444">
        <f>'[1]Форма.4.2'!D10</f>
        <v>0</v>
      </c>
      <c r="E10" s="28"/>
      <c r="F10" s="322" t="s">
        <v>380</v>
      </c>
    </row>
    <row r="11" spans="1:6" ht="105">
      <c r="A11" s="28"/>
      <c r="B11" s="317" t="s">
        <v>384</v>
      </c>
      <c r="C11" s="316" t="s">
        <v>7</v>
      </c>
      <c r="D11" s="231" t="s">
        <v>193</v>
      </c>
      <c r="E11" s="28"/>
      <c r="F11" s="322" t="s">
        <v>379</v>
      </c>
    </row>
    <row r="12" spans="1:6" ht="60">
      <c r="A12" s="28"/>
      <c r="B12" s="317" t="s">
        <v>381</v>
      </c>
      <c r="C12" s="316" t="s">
        <v>7</v>
      </c>
      <c r="D12" s="444">
        <v>0</v>
      </c>
      <c r="E12" s="28"/>
      <c r="F12" s="322" t="s">
        <v>380</v>
      </c>
    </row>
    <row r="13" spans="1:6" ht="60">
      <c r="A13" s="28"/>
      <c r="B13" s="317" t="s">
        <v>382</v>
      </c>
      <c r="C13" s="316" t="s">
        <v>7</v>
      </c>
      <c r="D13" s="444">
        <v>0</v>
      </c>
      <c r="E13" s="28"/>
      <c r="F13" s="322" t="s">
        <v>380</v>
      </c>
    </row>
    <row r="14" spans="1:6" ht="60">
      <c r="A14" s="28"/>
      <c r="B14" s="317" t="s">
        <v>383</v>
      </c>
      <c r="C14" s="316" t="s">
        <v>7</v>
      </c>
      <c r="D14" s="444">
        <v>0</v>
      </c>
      <c r="E14" s="28"/>
      <c r="F14" s="322" t="s">
        <v>380</v>
      </c>
    </row>
    <row r="16" spans="1:7" s="27" customFormat="1" ht="5.25">
      <c r="A16" s="28"/>
      <c r="B16" s="28"/>
      <c r="C16" s="28"/>
      <c r="D16" s="28"/>
      <c r="E16" s="28"/>
      <c r="F16" s="319"/>
      <c r="G16" s="329"/>
    </row>
    <row r="17" spans="1:5" ht="30.75" customHeight="1">
      <c r="A17" s="28"/>
      <c r="B17" s="390" t="str">
        <f>Содержание!$C$26</f>
        <v>Директор</v>
      </c>
      <c r="C17" s="30" t="s">
        <v>88</v>
      </c>
      <c r="D17" s="8" t="str">
        <f>Содержание!$G$26</f>
        <v>Осипов Д.С.</v>
      </c>
      <c r="E17" s="28"/>
    </row>
    <row r="18" spans="1:5" ht="15.75">
      <c r="A18" s="28"/>
      <c r="B18" s="313" t="s">
        <v>8</v>
      </c>
      <c r="C18" s="30" t="s">
        <v>9</v>
      </c>
      <c r="D18" s="33" t="s">
        <v>20</v>
      </c>
      <c r="E18" s="28"/>
    </row>
    <row r="19" spans="6:7" s="27" customFormat="1" ht="5.25">
      <c r="F19" s="319"/>
      <c r="G19" s="329"/>
    </row>
  </sheetData>
  <sheetProtection password="CA0A" sheet="1" formatCells="0" formatColumns="0" formatRows="0"/>
  <printOptions horizontalCentered="1"/>
  <pageMargins left="1.01" right="0.2362204724409449" top="0.35" bottom="0.35" header="0.21" footer="0.16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34">
      <selection activeCell="K7" sqref="K7:K9"/>
    </sheetView>
  </sheetViews>
  <sheetFormatPr defaultColWidth="9.00390625" defaultRowHeight="15.75"/>
  <cols>
    <col min="1" max="1" width="8.00390625" style="586" customWidth="1"/>
    <col min="2" max="2" width="71.50390625" style="586" customWidth="1"/>
    <col min="3" max="3" width="8.00390625" style="586" customWidth="1"/>
    <col min="4" max="4" width="14.25390625" style="586" customWidth="1"/>
    <col min="5" max="5" width="8.00390625" style="586" customWidth="1"/>
    <col min="6" max="6" width="16.00390625" style="586" customWidth="1"/>
    <col min="7" max="7" width="14.125" style="586" customWidth="1"/>
    <col min="8" max="9" width="8.00390625" style="586" customWidth="1"/>
    <col min="10" max="10" width="14.625" style="584" customWidth="1"/>
    <col min="11" max="22" width="9.00390625" style="584" customWidth="1"/>
    <col min="23" max="23" width="21.625" style="584" customWidth="1"/>
    <col min="24" max="16384" width="9.00390625" style="584" customWidth="1"/>
  </cols>
  <sheetData>
    <row r="1" spans="1:15" ht="16.5">
      <c r="A1" s="583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</row>
    <row r="2" spans="1:27" ht="16.5">
      <c r="A2" s="584" t="s">
        <v>459</v>
      </c>
      <c r="B2" s="584"/>
      <c r="C2" s="584"/>
      <c r="D2" s="584"/>
      <c r="E2" s="584"/>
      <c r="F2" s="584"/>
      <c r="G2" s="584"/>
      <c r="H2" s="584"/>
      <c r="I2" s="584"/>
      <c r="Q2" s="585"/>
      <c r="R2" s="586" t="s">
        <v>460</v>
      </c>
      <c r="S2" s="585">
        <v>2017</v>
      </c>
      <c r="T2" s="584" t="s">
        <v>461</v>
      </c>
      <c r="W2" s="587"/>
      <c r="X2" s="587"/>
      <c r="Y2" s="587"/>
      <c r="Z2" s="587"/>
      <c r="AA2" s="587"/>
    </row>
    <row r="3" spans="1:27" ht="15.75">
      <c r="A3" s="588" t="s">
        <v>462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W3" s="587"/>
      <c r="X3" s="587"/>
      <c r="Y3" s="587"/>
      <c r="Z3" s="587"/>
      <c r="AA3" s="587"/>
    </row>
    <row r="4" spans="1:27" ht="15.75">
      <c r="A4" s="589" t="s">
        <v>427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1"/>
      <c r="V4" s="591"/>
      <c r="W4" s="591"/>
      <c r="X4" s="591"/>
      <c r="Y4" s="591"/>
      <c r="Z4" s="591"/>
      <c r="AA4" s="591"/>
    </row>
    <row r="5" spans="1:27" s="586" customFormat="1" ht="19.5" thickBot="1">
      <c r="A5" s="592"/>
      <c r="B5" s="592"/>
      <c r="C5" s="592"/>
      <c r="D5" s="592"/>
      <c r="E5" s="592"/>
      <c r="F5" s="592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84"/>
      <c r="T5" s="584"/>
      <c r="U5" s="584"/>
      <c r="V5" s="584"/>
      <c r="W5" s="584"/>
      <c r="X5" s="584"/>
      <c r="Y5" s="584"/>
      <c r="Z5" s="584"/>
      <c r="AA5" s="584"/>
    </row>
    <row r="6" spans="1:27" ht="16.5" thickBot="1">
      <c r="A6" s="594" t="s">
        <v>463</v>
      </c>
      <c r="B6" s="595"/>
      <c r="C6" s="595"/>
      <c r="D6" s="595"/>
      <c r="E6" s="595"/>
      <c r="F6" s="595"/>
      <c r="G6" s="595"/>
      <c r="H6" s="595"/>
      <c r="I6" s="596"/>
      <c r="J6" s="595" t="s">
        <v>464</v>
      </c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6"/>
      <c r="W6" s="597" t="s">
        <v>465</v>
      </c>
      <c r="X6" s="598" t="s">
        <v>466</v>
      </c>
      <c r="Y6" s="599"/>
      <c r="Z6" s="600"/>
      <c r="AA6" s="601" t="s">
        <v>467</v>
      </c>
    </row>
    <row r="7" spans="1:27" ht="16.5" thickBot="1">
      <c r="A7" s="597" t="s">
        <v>468</v>
      </c>
      <c r="B7" s="597" t="s">
        <v>469</v>
      </c>
      <c r="C7" s="597" t="s">
        <v>470</v>
      </c>
      <c r="D7" s="597" t="s">
        <v>471</v>
      </c>
      <c r="E7" s="597" t="s">
        <v>472</v>
      </c>
      <c r="F7" s="597" t="s">
        <v>473</v>
      </c>
      <c r="G7" s="597" t="s">
        <v>474</v>
      </c>
      <c r="H7" s="597" t="s">
        <v>475</v>
      </c>
      <c r="I7" s="597" t="s">
        <v>476</v>
      </c>
      <c r="J7" s="601" t="s">
        <v>477</v>
      </c>
      <c r="K7" s="597" t="s">
        <v>478</v>
      </c>
      <c r="L7" s="597" t="s">
        <v>479</v>
      </c>
      <c r="M7" s="594" t="s">
        <v>480</v>
      </c>
      <c r="N7" s="595"/>
      <c r="O7" s="595"/>
      <c r="P7" s="595"/>
      <c r="Q7" s="595"/>
      <c r="R7" s="595"/>
      <c r="S7" s="595"/>
      <c r="T7" s="595"/>
      <c r="U7" s="596"/>
      <c r="V7" s="597" t="s">
        <v>481</v>
      </c>
      <c r="W7" s="602"/>
      <c r="X7" s="603"/>
      <c r="Y7" s="604"/>
      <c r="Z7" s="605"/>
      <c r="AA7" s="606"/>
    </row>
    <row r="8" spans="1:27" ht="16.5" thickBot="1">
      <c r="A8" s="602"/>
      <c r="B8" s="602"/>
      <c r="C8" s="602"/>
      <c r="D8" s="602"/>
      <c r="E8" s="602"/>
      <c r="F8" s="602"/>
      <c r="G8" s="602"/>
      <c r="H8" s="602"/>
      <c r="I8" s="602"/>
      <c r="J8" s="606"/>
      <c r="K8" s="602"/>
      <c r="L8" s="602"/>
      <c r="M8" s="597" t="s">
        <v>482</v>
      </c>
      <c r="N8" s="594" t="s">
        <v>483</v>
      </c>
      <c r="O8" s="595"/>
      <c r="P8" s="596"/>
      <c r="Q8" s="594" t="s">
        <v>484</v>
      </c>
      <c r="R8" s="595"/>
      <c r="S8" s="595"/>
      <c r="T8" s="596"/>
      <c r="U8" s="597" t="s">
        <v>485</v>
      </c>
      <c r="V8" s="602"/>
      <c r="W8" s="602"/>
      <c r="X8" s="597" t="s">
        <v>486</v>
      </c>
      <c r="Y8" s="597" t="s">
        <v>487</v>
      </c>
      <c r="Z8" s="597" t="s">
        <v>488</v>
      </c>
      <c r="AA8" s="606"/>
    </row>
    <row r="9" spans="1:27" ht="160.5" customHeight="1" thickBot="1">
      <c r="A9" s="602"/>
      <c r="B9" s="602"/>
      <c r="C9" s="602"/>
      <c r="D9" s="602"/>
      <c r="E9" s="602"/>
      <c r="F9" s="602"/>
      <c r="G9" s="602"/>
      <c r="H9" s="602"/>
      <c r="I9" s="602"/>
      <c r="J9" s="606"/>
      <c r="K9" s="602"/>
      <c r="L9" s="602"/>
      <c r="M9" s="602"/>
      <c r="N9" s="607" t="s">
        <v>489</v>
      </c>
      <c r="O9" s="607" t="s">
        <v>490</v>
      </c>
      <c r="P9" s="607" t="s">
        <v>491</v>
      </c>
      <c r="Q9" s="607" t="s">
        <v>492</v>
      </c>
      <c r="R9" s="607" t="s">
        <v>493</v>
      </c>
      <c r="S9" s="607" t="s">
        <v>494</v>
      </c>
      <c r="T9" s="607" t="s">
        <v>495</v>
      </c>
      <c r="U9" s="602"/>
      <c r="V9" s="602"/>
      <c r="W9" s="602"/>
      <c r="X9" s="602"/>
      <c r="Y9" s="602"/>
      <c r="Z9" s="602"/>
      <c r="AA9" s="606"/>
    </row>
    <row r="10" spans="1:27" ht="16.5" thickBot="1">
      <c r="A10" s="608">
        <v>1</v>
      </c>
      <c r="B10" s="608">
        <v>2</v>
      </c>
      <c r="C10" s="608">
        <v>3</v>
      </c>
      <c r="D10" s="608">
        <v>4</v>
      </c>
      <c r="E10" s="608">
        <v>5</v>
      </c>
      <c r="F10" s="608">
        <v>6</v>
      </c>
      <c r="G10" s="608">
        <v>7</v>
      </c>
      <c r="H10" s="608">
        <v>8</v>
      </c>
      <c r="I10" s="608">
        <v>9</v>
      </c>
      <c r="J10" s="608">
        <v>10</v>
      </c>
      <c r="K10" s="608">
        <v>11</v>
      </c>
      <c r="L10" s="608">
        <v>12</v>
      </c>
      <c r="M10" s="608">
        <v>13</v>
      </c>
      <c r="N10" s="608">
        <v>14</v>
      </c>
      <c r="O10" s="608">
        <v>15</v>
      </c>
      <c r="P10" s="608">
        <v>16</v>
      </c>
      <c r="Q10" s="608">
        <v>17</v>
      </c>
      <c r="R10" s="608">
        <v>18</v>
      </c>
      <c r="S10" s="608">
        <v>19</v>
      </c>
      <c r="T10" s="608">
        <v>20</v>
      </c>
      <c r="U10" s="608">
        <v>21</v>
      </c>
      <c r="V10" s="608">
        <v>22</v>
      </c>
      <c r="W10" s="608">
        <v>23</v>
      </c>
      <c r="X10" s="608">
        <v>24</v>
      </c>
      <c r="Y10" s="608">
        <v>25</v>
      </c>
      <c r="Z10" s="608">
        <v>26</v>
      </c>
      <c r="AA10" s="608">
        <v>27</v>
      </c>
    </row>
    <row r="11" spans="1:29" s="611" customFormat="1" ht="31.5">
      <c r="A11" s="609">
        <v>1</v>
      </c>
      <c r="B11" s="609" t="s">
        <v>496</v>
      </c>
      <c r="C11" s="609" t="s">
        <v>497</v>
      </c>
      <c r="D11" s="609" t="s">
        <v>498</v>
      </c>
      <c r="E11" s="609">
        <v>6</v>
      </c>
      <c r="F11" s="609" t="s">
        <v>499</v>
      </c>
      <c r="G11" s="609" t="s">
        <v>500</v>
      </c>
      <c r="H11" s="609" t="s">
        <v>501</v>
      </c>
      <c r="I11" s="609">
        <v>3</v>
      </c>
      <c r="J11" s="609" t="s">
        <v>498</v>
      </c>
      <c r="K11" s="609"/>
      <c r="L11" s="609"/>
      <c r="M11" s="609">
        <v>2</v>
      </c>
      <c r="N11" s="609">
        <v>0</v>
      </c>
      <c r="O11" s="609">
        <v>0</v>
      </c>
      <c r="P11" s="609">
        <v>2</v>
      </c>
      <c r="Q11" s="609">
        <v>0</v>
      </c>
      <c r="R11" s="609">
        <v>0</v>
      </c>
      <c r="S11" s="609">
        <v>0</v>
      </c>
      <c r="T11" s="609">
        <v>2</v>
      </c>
      <c r="U11" s="609">
        <v>0</v>
      </c>
      <c r="V11" s="609">
        <v>0</v>
      </c>
      <c r="W11" s="609"/>
      <c r="X11" s="609"/>
      <c r="Y11" s="609"/>
      <c r="Z11" s="609"/>
      <c r="AA11" s="609">
        <v>0</v>
      </c>
      <c r="AB11" s="610"/>
      <c r="AC11" s="610"/>
    </row>
    <row r="12" spans="1:29" s="611" customFormat="1" ht="31.5">
      <c r="A12" s="609">
        <v>1</v>
      </c>
      <c r="B12" s="609" t="s">
        <v>496</v>
      </c>
      <c r="C12" s="609" t="s">
        <v>497</v>
      </c>
      <c r="D12" s="609" t="s">
        <v>502</v>
      </c>
      <c r="E12" s="609">
        <v>10</v>
      </c>
      <c r="F12" s="609" t="s">
        <v>503</v>
      </c>
      <c r="G12" s="609" t="s">
        <v>504</v>
      </c>
      <c r="H12" s="609" t="s">
        <v>501</v>
      </c>
      <c r="I12" s="609">
        <v>1.5</v>
      </c>
      <c r="J12" s="609" t="s">
        <v>502</v>
      </c>
      <c r="K12" s="609">
        <v>0</v>
      </c>
      <c r="L12" s="609">
        <v>0</v>
      </c>
      <c r="M12" s="609">
        <v>2</v>
      </c>
      <c r="N12" s="609">
        <v>0</v>
      </c>
      <c r="O12" s="609">
        <v>0</v>
      </c>
      <c r="P12" s="609">
        <v>2</v>
      </c>
      <c r="Q12" s="609">
        <v>0</v>
      </c>
      <c r="R12" s="609">
        <v>0</v>
      </c>
      <c r="S12" s="609">
        <v>0</v>
      </c>
      <c r="T12" s="609">
        <v>2</v>
      </c>
      <c r="U12" s="609">
        <v>0</v>
      </c>
      <c r="V12" s="609">
        <v>0</v>
      </c>
      <c r="W12" s="609"/>
      <c r="X12" s="609"/>
      <c r="Y12" s="609"/>
      <c r="Z12" s="609"/>
      <c r="AA12" s="609">
        <v>0</v>
      </c>
      <c r="AB12" s="610"/>
      <c r="AC12" s="610"/>
    </row>
    <row r="13" spans="1:29" s="611" customFormat="1" ht="78.75">
      <c r="A13" s="609">
        <v>1</v>
      </c>
      <c r="B13" s="609" t="s">
        <v>496</v>
      </c>
      <c r="C13" s="609" t="s">
        <v>505</v>
      </c>
      <c r="D13" s="609" t="s">
        <v>506</v>
      </c>
      <c r="E13" s="609">
        <v>10</v>
      </c>
      <c r="F13" s="609" t="s">
        <v>507</v>
      </c>
      <c r="G13" s="609" t="s">
        <v>508</v>
      </c>
      <c r="H13" s="609" t="s">
        <v>509</v>
      </c>
      <c r="I13" s="609">
        <v>11.75</v>
      </c>
      <c r="J13" s="609" t="s">
        <v>510</v>
      </c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609">
        <v>1</v>
      </c>
      <c r="V13" s="609"/>
      <c r="W13" s="609" t="s">
        <v>511</v>
      </c>
      <c r="X13" s="609"/>
      <c r="Y13" s="609" t="s">
        <v>512</v>
      </c>
      <c r="Z13" s="609">
        <v>4.11</v>
      </c>
      <c r="AA13" s="609">
        <v>0</v>
      </c>
      <c r="AB13" s="610"/>
      <c r="AC13" s="610"/>
    </row>
    <row r="14" spans="1:29" s="611" customFormat="1" ht="31.5">
      <c r="A14" s="609">
        <v>2</v>
      </c>
      <c r="B14" s="609" t="s">
        <v>496</v>
      </c>
      <c r="C14" s="609" t="s">
        <v>513</v>
      </c>
      <c r="D14" s="609" t="s">
        <v>514</v>
      </c>
      <c r="E14" s="609">
        <v>10</v>
      </c>
      <c r="F14" s="609" t="s">
        <v>515</v>
      </c>
      <c r="G14" s="609" t="s">
        <v>516</v>
      </c>
      <c r="H14" s="609" t="s">
        <v>501</v>
      </c>
      <c r="I14" s="609">
        <v>1</v>
      </c>
      <c r="J14" s="609" t="s">
        <v>514</v>
      </c>
      <c r="K14" s="609"/>
      <c r="L14" s="609"/>
      <c r="M14" s="609">
        <v>1</v>
      </c>
      <c r="N14" s="609">
        <v>0</v>
      </c>
      <c r="O14" s="609">
        <v>0</v>
      </c>
      <c r="P14" s="609">
        <v>1</v>
      </c>
      <c r="Q14" s="609">
        <v>0</v>
      </c>
      <c r="R14" s="609">
        <v>0</v>
      </c>
      <c r="S14" s="609">
        <v>0</v>
      </c>
      <c r="T14" s="609">
        <v>1</v>
      </c>
      <c r="U14" s="609">
        <v>0</v>
      </c>
      <c r="V14" s="609">
        <v>0</v>
      </c>
      <c r="W14" s="609"/>
      <c r="X14" s="609"/>
      <c r="Y14" s="609"/>
      <c r="Z14" s="609"/>
      <c r="AA14" s="609">
        <v>0</v>
      </c>
      <c r="AB14" s="610"/>
      <c r="AC14" s="610"/>
    </row>
    <row r="15" spans="1:29" s="611" customFormat="1" ht="47.25">
      <c r="A15" s="609">
        <v>2</v>
      </c>
      <c r="B15" s="609" t="s">
        <v>496</v>
      </c>
      <c r="C15" s="609" t="s">
        <v>513</v>
      </c>
      <c r="D15" s="609" t="s">
        <v>506</v>
      </c>
      <c r="E15" s="609">
        <v>10</v>
      </c>
      <c r="F15" s="609" t="s">
        <v>517</v>
      </c>
      <c r="G15" s="609" t="s">
        <v>518</v>
      </c>
      <c r="H15" s="609" t="s">
        <v>509</v>
      </c>
      <c r="I15" s="609">
        <v>1.55</v>
      </c>
      <c r="J15" s="609" t="s">
        <v>519</v>
      </c>
      <c r="K15" s="609"/>
      <c r="L15" s="609"/>
      <c r="M15" s="609"/>
      <c r="N15" s="609"/>
      <c r="O15" s="609"/>
      <c r="P15" s="609"/>
      <c r="Q15" s="609"/>
      <c r="R15" s="609"/>
      <c r="S15" s="609"/>
      <c r="T15" s="609"/>
      <c r="U15" s="609"/>
      <c r="V15" s="609"/>
      <c r="W15" s="609"/>
      <c r="X15" s="609"/>
      <c r="Y15" s="609"/>
      <c r="Z15" s="609"/>
      <c r="AA15" s="609">
        <v>1</v>
      </c>
      <c r="AB15" s="610"/>
      <c r="AC15" s="610"/>
    </row>
    <row r="16" spans="1:29" s="611" customFormat="1" ht="21.75" customHeight="1">
      <c r="A16" s="609">
        <v>3</v>
      </c>
      <c r="B16" s="609" t="s">
        <v>496</v>
      </c>
      <c r="C16" s="609" t="s">
        <v>497</v>
      </c>
      <c r="D16" s="609" t="s">
        <v>520</v>
      </c>
      <c r="E16" s="609">
        <v>10</v>
      </c>
      <c r="F16" s="609" t="s">
        <v>521</v>
      </c>
      <c r="G16" s="609" t="s">
        <v>522</v>
      </c>
      <c r="H16" s="609" t="s">
        <v>501</v>
      </c>
      <c r="I16" s="609">
        <v>1</v>
      </c>
      <c r="J16" s="609" t="s">
        <v>520</v>
      </c>
      <c r="K16" s="609"/>
      <c r="L16" s="609"/>
      <c r="M16" s="609">
        <v>1</v>
      </c>
      <c r="N16" s="609">
        <v>0</v>
      </c>
      <c r="O16" s="609">
        <v>0</v>
      </c>
      <c r="P16" s="609">
        <v>1</v>
      </c>
      <c r="Q16" s="609">
        <v>0</v>
      </c>
      <c r="R16" s="609">
        <v>0</v>
      </c>
      <c r="S16" s="609">
        <v>0</v>
      </c>
      <c r="T16" s="609">
        <v>1</v>
      </c>
      <c r="U16" s="609">
        <v>0</v>
      </c>
      <c r="V16" s="609">
        <v>0</v>
      </c>
      <c r="W16" s="609"/>
      <c r="X16" s="609"/>
      <c r="Y16" s="609"/>
      <c r="Z16" s="609"/>
      <c r="AA16" s="609">
        <v>0</v>
      </c>
      <c r="AB16" s="610"/>
      <c r="AC16" s="610"/>
    </row>
    <row r="17" spans="1:29" s="611" customFormat="1" ht="31.5">
      <c r="A17" s="609">
        <v>3</v>
      </c>
      <c r="B17" s="609" t="s">
        <v>496</v>
      </c>
      <c r="C17" s="609" t="s">
        <v>513</v>
      </c>
      <c r="D17" s="609" t="s">
        <v>523</v>
      </c>
      <c r="E17" s="609">
        <v>10</v>
      </c>
      <c r="F17" s="609" t="s">
        <v>524</v>
      </c>
      <c r="G17" s="609" t="s">
        <v>525</v>
      </c>
      <c r="H17" s="609" t="s">
        <v>509</v>
      </c>
      <c r="I17" s="609">
        <v>5.58</v>
      </c>
      <c r="J17" s="609" t="s">
        <v>526</v>
      </c>
      <c r="K17" s="609"/>
      <c r="L17" s="609"/>
      <c r="M17" s="609">
        <v>36</v>
      </c>
      <c r="N17" s="609"/>
      <c r="O17" s="609"/>
      <c r="P17" s="609">
        <v>36</v>
      </c>
      <c r="Q17" s="609"/>
      <c r="R17" s="609"/>
      <c r="S17" s="609"/>
      <c r="T17" s="609">
        <v>36</v>
      </c>
      <c r="U17" s="609"/>
      <c r="V17" s="609"/>
      <c r="W17" s="609"/>
      <c r="X17" s="609"/>
      <c r="Y17" s="609" t="s">
        <v>512</v>
      </c>
      <c r="Z17" s="609">
        <v>4.1</v>
      </c>
      <c r="AA17" s="609">
        <v>0</v>
      </c>
      <c r="AB17" s="610"/>
      <c r="AC17" s="610"/>
    </row>
    <row r="18" spans="1:29" s="611" customFormat="1" ht="31.5">
      <c r="A18" s="609">
        <v>4</v>
      </c>
      <c r="B18" s="609" t="s">
        <v>496</v>
      </c>
      <c r="C18" s="609" t="s">
        <v>497</v>
      </c>
      <c r="D18" s="609" t="s">
        <v>502</v>
      </c>
      <c r="E18" s="609">
        <v>10</v>
      </c>
      <c r="F18" s="609" t="s">
        <v>527</v>
      </c>
      <c r="G18" s="609" t="s">
        <v>528</v>
      </c>
      <c r="H18" s="609" t="s">
        <v>501</v>
      </c>
      <c r="I18" s="609">
        <v>3</v>
      </c>
      <c r="J18" s="609" t="s">
        <v>502</v>
      </c>
      <c r="K18" s="609">
        <v>0</v>
      </c>
      <c r="L18" s="609">
        <v>0</v>
      </c>
      <c r="M18" s="609">
        <v>2</v>
      </c>
      <c r="N18" s="609">
        <v>0</v>
      </c>
      <c r="O18" s="609">
        <v>0</v>
      </c>
      <c r="P18" s="609">
        <v>2</v>
      </c>
      <c r="Q18" s="609">
        <v>0</v>
      </c>
      <c r="R18" s="609">
        <v>0</v>
      </c>
      <c r="S18" s="609">
        <v>0</v>
      </c>
      <c r="T18" s="609">
        <v>2</v>
      </c>
      <c r="U18" s="609">
        <v>0</v>
      </c>
      <c r="V18" s="609">
        <v>0</v>
      </c>
      <c r="W18" s="609"/>
      <c r="X18" s="609"/>
      <c r="Y18" s="609"/>
      <c r="Z18" s="609"/>
      <c r="AA18" s="609">
        <v>0</v>
      </c>
      <c r="AB18" s="610"/>
      <c r="AC18" s="610"/>
    </row>
    <row r="19" spans="1:29" s="611" customFormat="1" ht="27.75" customHeight="1">
      <c r="A19" s="609">
        <v>4</v>
      </c>
      <c r="B19" s="609" t="s">
        <v>496</v>
      </c>
      <c r="C19" s="609" t="s">
        <v>497</v>
      </c>
      <c r="D19" s="609" t="s">
        <v>529</v>
      </c>
      <c r="E19" s="609">
        <v>10</v>
      </c>
      <c r="F19" s="609" t="s">
        <v>530</v>
      </c>
      <c r="G19" s="609" t="s">
        <v>531</v>
      </c>
      <c r="H19" s="609" t="s">
        <v>532</v>
      </c>
      <c r="I19" s="609">
        <v>6.18</v>
      </c>
      <c r="J19" s="609" t="s">
        <v>533</v>
      </c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 t="s">
        <v>534</v>
      </c>
      <c r="Z19" s="609"/>
      <c r="AA19" s="609">
        <v>0</v>
      </c>
      <c r="AB19" s="610"/>
      <c r="AC19" s="610"/>
    </row>
    <row r="20" spans="1:29" s="611" customFormat="1" ht="31.5">
      <c r="A20" s="609">
        <v>5</v>
      </c>
      <c r="B20" s="609" t="s">
        <v>496</v>
      </c>
      <c r="C20" s="609" t="s">
        <v>505</v>
      </c>
      <c r="D20" s="609" t="s">
        <v>535</v>
      </c>
      <c r="E20" s="609">
        <v>10</v>
      </c>
      <c r="F20" s="609" t="s">
        <v>536</v>
      </c>
      <c r="G20" s="609" t="s">
        <v>537</v>
      </c>
      <c r="H20" s="609" t="s">
        <v>501</v>
      </c>
      <c r="I20" s="609">
        <v>3</v>
      </c>
      <c r="J20" s="609" t="s">
        <v>535</v>
      </c>
      <c r="K20" s="609">
        <v>0</v>
      </c>
      <c r="L20" s="609">
        <v>0</v>
      </c>
      <c r="M20" s="609">
        <v>1</v>
      </c>
      <c r="N20" s="609">
        <v>0</v>
      </c>
      <c r="O20" s="609">
        <v>0</v>
      </c>
      <c r="P20" s="609">
        <v>1</v>
      </c>
      <c r="Q20" s="609">
        <v>0</v>
      </c>
      <c r="R20" s="609">
        <v>0</v>
      </c>
      <c r="S20" s="609">
        <v>0</v>
      </c>
      <c r="T20" s="609">
        <v>1</v>
      </c>
      <c r="U20" s="609">
        <v>0</v>
      </c>
      <c r="V20" s="609">
        <v>0</v>
      </c>
      <c r="W20" s="609"/>
      <c r="X20" s="609"/>
      <c r="Y20" s="609"/>
      <c r="Z20" s="609"/>
      <c r="AA20" s="609">
        <v>0</v>
      </c>
      <c r="AB20" s="610"/>
      <c r="AC20" s="610"/>
    </row>
    <row r="21" spans="1:29" s="611" customFormat="1" ht="94.5">
      <c r="A21" s="609">
        <v>5</v>
      </c>
      <c r="B21" s="609" t="s">
        <v>496</v>
      </c>
      <c r="C21" s="609" t="s">
        <v>538</v>
      </c>
      <c r="D21" s="609" t="s">
        <v>539</v>
      </c>
      <c r="E21" s="609">
        <v>35</v>
      </c>
      <c r="F21" s="609" t="s">
        <v>540</v>
      </c>
      <c r="G21" s="609" t="s">
        <v>541</v>
      </c>
      <c r="H21" s="609" t="s">
        <v>509</v>
      </c>
      <c r="I21" s="609">
        <v>0.97</v>
      </c>
      <c r="J21" s="609" t="s">
        <v>542</v>
      </c>
      <c r="K21" s="609"/>
      <c r="L21" s="609"/>
      <c r="M21" s="609"/>
      <c r="N21" s="609"/>
      <c r="O21" s="609"/>
      <c r="P21" s="609"/>
      <c r="Q21" s="609"/>
      <c r="R21" s="609"/>
      <c r="S21" s="609"/>
      <c r="T21" s="609"/>
      <c r="U21" s="609"/>
      <c r="V21" s="609"/>
      <c r="W21" s="609"/>
      <c r="X21" s="609" t="s">
        <v>543</v>
      </c>
      <c r="Y21" s="609" t="s">
        <v>544</v>
      </c>
      <c r="Z21" s="609">
        <v>4.1</v>
      </c>
      <c r="AA21" s="609">
        <v>1</v>
      </c>
      <c r="AB21" s="610"/>
      <c r="AC21" s="610"/>
    </row>
    <row r="22" spans="1:29" s="611" customFormat="1" ht="31.5">
      <c r="A22" s="609">
        <v>6</v>
      </c>
      <c r="B22" s="609" t="s">
        <v>496</v>
      </c>
      <c r="C22" s="609" t="s">
        <v>513</v>
      </c>
      <c r="D22" s="609" t="s">
        <v>523</v>
      </c>
      <c r="E22" s="609">
        <v>0.4</v>
      </c>
      <c r="F22" s="609" t="s">
        <v>545</v>
      </c>
      <c r="G22" s="609" t="s">
        <v>546</v>
      </c>
      <c r="H22" s="609" t="s">
        <v>501</v>
      </c>
      <c r="I22" s="609">
        <v>3</v>
      </c>
      <c r="J22" s="609" t="s">
        <v>547</v>
      </c>
      <c r="K22" s="609">
        <v>0</v>
      </c>
      <c r="L22" s="609">
        <v>0</v>
      </c>
      <c r="M22" s="609">
        <v>34</v>
      </c>
      <c r="N22" s="609">
        <v>0</v>
      </c>
      <c r="O22" s="609">
        <v>0</v>
      </c>
      <c r="P22" s="609">
        <v>34</v>
      </c>
      <c r="Q22" s="609">
        <v>0</v>
      </c>
      <c r="R22" s="609">
        <v>0</v>
      </c>
      <c r="S22" s="609">
        <v>0</v>
      </c>
      <c r="T22" s="609">
        <v>34</v>
      </c>
      <c r="U22" s="609">
        <v>0</v>
      </c>
      <c r="V22" s="609">
        <v>0</v>
      </c>
      <c r="W22" s="609"/>
      <c r="X22" s="609"/>
      <c r="Y22" s="609"/>
      <c r="Z22" s="609"/>
      <c r="AA22" s="609">
        <v>0</v>
      </c>
      <c r="AB22" s="610"/>
      <c r="AC22" s="610"/>
    </row>
    <row r="23" spans="1:29" s="611" customFormat="1" ht="31.5">
      <c r="A23" s="609">
        <v>6</v>
      </c>
      <c r="B23" s="609" t="s">
        <v>496</v>
      </c>
      <c r="C23" s="609" t="s">
        <v>497</v>
      </c>
      <c r="D23" s="609" t="s">
        <v>548</v>
      </c>
      <c r="E23" s="609">
        <v>10</v>
      </c>
      <c r="F23" s="609" t="s">
        <v>549</v>
      </c>
      <c r="G23" s="609" t="s">
        <v>550</v>
      </c>
      <c r="H23" s="609" t="s">
        <v>532</v>
      </c>
      <c r="I23" s="609">
        <v>8.75</v>
      </c>
      <c r="J23" s="609" t="s">
        <v>551</v>
      </c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 t="s">
        <v>552</v>
      </c>
      <c r="Z23" s="609"/>
      <c r="AA23" s="609">
        <v>0</v>
      </c>
      <c r="AB23" s="610"/>
      <c r="AC23" s="610"/>
    </row>
    <row r="24" spans="1:29" s="611" customFormat="1" ht="78.75">
      <c r="A24" s="609">
        <v>7</v>
      </c>
      <c r="B24" s="609" t="s">
        <v>496</v>
      </c>
      <c r="C24" s="609" t="s">
        <v>505</v>
      </c>
      <c r="D24" s="609" t="s">
        <v>553</v>
      </c>
      <c r="E24" s="609">
        <v>10</v>
      </c>
      <c r="F24" s="609" t="s">
        <v>554</v>
      </c>
      <c r="G24" s="609" t="s">
        <v>555</v>
      </c>
      <c r="H24" s="609" t="s">
        <v>509</v>
      </c>
      <c r="I24" s="609">
        <v>2.15</v>
      </c>
      <c r="J24" s="609" t="s">
        <v>556</v>
      </c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 t="s">
        <v>557</v>
      </c>
      <c r="Y24" s="609" t="s">
        <v>512</v>
      </c>
      <c r="Z24" s="609"/>
      <c r="AA24" s="609">
        <v>0</v>
      </c>
      <c r="AB24" s="610"/>
      <c r="AC24" s="610"/>
    </row>
    <row r="25" spans="1:29" s="611" customFormat="1" ht="47.25">
      <c r="A25" s="609">
        <v>8</v>
      </c>
      <c r="B25" s="609" t="s">
        <v>496</v>
      </c>
      <c r="C25" s="609" t="s">
        <v>497</v>
      </c>
      <c r="D25" s="609" t="s">
        <v>558</v>
      </c>
      <c r="E25" s="609">
        <v>10</v>
      </c>
      <c r="F25" s="609" t="s">
        <v>559</v>
      </c>
      <c r="G25" s="609" t="s">
        <v>560</v>
      </c>
      <c r="H25" s="609" t="s">
        <v>501</v>
      </c>
      <c r="I25" s="609">
        <v>3</v>
      </c>
      <c r="J25" s="609" t="s">
        <v>561</v>
      </c>
      <c r="K25" s="609">
        <v>0</v>
      </c>
      <c r="L25" s="609">
        <v>0</v>
      </c>
      <c r="M25" s="609">
        <v>5</v>
      </c>
      <c r="N25" s="609">
        <v>0</v>
      </c>
      <c r="O25" s="609">
        <v>0</v>
      </c>
      <c r="P25" s="609">
        <v>5</v>
      </c>
      <c r="Q25" s="609">
        <v>0</v>
      </c>
      <c r="R25" s="609">
        <v>0</v>
      </c>
      <c r="S25" s="609">
        <v>0</v>
      </c>
      <c r="T25" s="609">
        <v>5</v>
      </c>
      <c r="U25" s="609">
        <v>0</v>
      </c>
      <c r="V25" s="609">
        <v>0</v>
      </c>
      <c r="W25" s="609"/>
      <c r="X25" s="609"/>
      <c r="Y25" s="609"/>
      <c r="Z25" s="609"/>
      <c r="AA25" s="609">
        <v>0</v>
      </c>
      <c r="AB25" s="610"/>
      <c r="AC25" s="610"/>
    </row>
    <row r="26" spans="1:29" s="611" customFormat="1" ht="31.5">
      <c r="A26" s="609">
        <v>8</v>
      </c>
      <c r="B26" s="609" t="s">
        <v>496</v>
      </c>
      <c r="C26" s="609" t="s">
        <v>497</v>
      </c>
      <c r="D26" s="609" t="s">
        <v>562</v>
      </c>
      <c r="E26" s="609">
        <v>10</v>
      </c>
      <c r="F26" s="609" t="s">
        <v>563</v>
      </c>
      <c r="G26" s="609" t="s">
        <v>564</v>
      </c>
      <c r="H26" s="609" t="s">
        <v>532</v>
      </c>
      <c r="I26" s="609">
        <v>0.82</v>
      </c>
      <c r="J26" s="609" t="s">
        <v>565</v>
      </c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 t="s">
        <v>512</v>
      </c>
      <c r="Z26" s="609"/>
      <c r="AA26" s="609">
        <v>0</v>
      </c>
      <c r="AB26" s="610"/>
      <c r="AC26" s="610"/>
    </row>
    <row r="27" spans="1:29" s="611" customFormat="1" ht="31.5">
      <c r="A27" s="609">
        <v>9</v>
      </c>
      <c r="B27" s="609" t="s">
        <v>496</v>
      </c>
      <c r="C27" s="609" t="s">
        <v>505</v>
      </c>
      <c r="D27" s="609" t="s">
        <v>506</v>
      </c>
      <c r="E27" s="609">
        <v>10</v>
      </c>
      <c r="F27" s="609" t="s">
        <v>566</v>
      </c>
      <c r="G27" s="609" t="s">
        <v>567</v>
      </c>
      <c r="H27" s="609" t="s">
        <v>568</v>
      </c>
      <c r="I27" s="609">
        <v>4</v>
      </c>
      <c r="J27" s="609" t="s">
        <v>569</v>
      </c>
      <c r="K27" s="609">
        <v>0</v>
      </c>
      <c r="L27" s="609">
        <v>0</v>
      </c>
      <c r="M27" s="609">
        <v>11</v>
      </c>
      <c r="N27" s="609">
        <v>0</v>
      </c>
      <c r="O27" s="609">
        <v>0</v>
      </c>
      <c r="P27" s="609">
        <v>9</v>
      </c>
      <c r="Q27" s="609">
        <v>0</v>
      </c>
      <c r="R27" s="609">
        <v>0</v>
      </c>
      <c r="S27" s="609">
        <v>0</v>
      </c>
      <c r="T27" s="609">
        <v>9</v>
      </c>
      <c r="U27" s="609">
        <v>2</v>
      </c>
      <c r="V27" s="609">
        <v>0</v>
      </c>
      <c r="W27" s="609" t="s">
        <v>570</v>
      </c>
      <c r="X27" s="609"/>
      <c r="Y27" s="609" t="s">
        <v>512</v>
      </c>
      <c r="Z27" s="609">
        <v>4.4</v>
      </c>
      <c r="AA27" s="609">
        <v>0</v>
      </c>
      <c r="AB27" s="610"/>
      <c r="AC27" s="610"/>
    </row>
    <row r="28" spans="1:29" s="611" customFormat="1" ht="63">
      <c r="A28" s="609">
        <v>9</v>
      </c>
      <c r="B28" s="609" t="s">
        <v>496</v>
      </c>
      <c r="C28" s="609" t="s">
        <v>513</v>
      </c>
      <c r="D28" s="609" t="s">
        <v>571</v>
      </c>
      <c r="E28" s="609">
        <v>10</v>
      </c>
      <c r="F28" s="609" t="s">
        <v>572</v>
      </c>
      <c r="G28" s="609" t="s">
        <v>573</v>
      </c>
      <c r="H28" s="609" t="s">
        <v>532</v>
      </c>
      <c r="I28" s="609">
        <v>0.53</v>
      </c>
      <c r="J28" s="609" t="s">
        <v>574</v>
      </c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 t="s">
        <v>512</v>
      </c>
      <c r="Z28" s="609">
        <v>4.21</v>
      </c>
      <c r="AA28" s="609">
        <v>0</v>
      </c>
      <c r="AB28" s="610"/>
      <c r="AC28" s="610"/>
    </row>
    <row r="29" spans="1:29" s="611" customFormat="1" ht="47.25">
      <c r="A29" s="609">
        <v>10</v>
      </c>
      <c r="B29" s="609" t="s">
        <v>496</v>
      </c>
      <c r="C29" s="609" t="s">
        <v>497</v>
      </c>
      <c r="D29" s="609" t="s">
        <v>575</v>
      </c>
      <c r="E29" s="609">
        <v>10</v>
      </c>
      <c r="F29" s="609" t="s">
        <v>576</v>
      </c>
      <c r="G29" s="609" t="s">
        <v>577</v>
      </c>
      <c r="H29" s="609" t="s">
        <v>568</v>
      </c>
      <c r="I29" s="609">
        <v>2.5</v>
      </c>
      <c r="J29" s="609" t="s">
        <v>578</v>
      </c>
      <c r="K29" s="609">
        <v>0</v>
      </c>
      <c r="L29" s="609">
        <v>0</v>
      </c>
      <c r="M29" s="609">
        <v>4</v>
      </c>
      <c r="N29" s="609">
        <v>0</v>
      </c>
      <c r="O29" s="609">
        <v>0</v>
      </c>
      <c r="P29" s="609">
        <v>4</v>
      </c>
      <c r="Q29" s="609">
        <v>0</v>
      </c>
      <c r="R29" s="609">
        <v>0</v>
      </c>
      <c r="S29" s="609">
        <v>0</v>
      </c>
      <c r="T29" s="609">
        <v>4</v>
      </c>
      <c r="U29" s="609">
        <v>0</v>
      </c>
      <c r="V29" s="609">
        <v>0</v>
      </c>
      <c r="W29" s="609"/>
      <c r="X29" s="609"/>
      <c r="Y29" s="609" t="s">
        <v>512</v>
      </c>
      <c r="Z29" s="609">
        <v>4.21</v>
      </c>
      <c r="AA29" s="609">
        <v>0</v>
      </c>
      <c r="AB29" s="610"/>
      <c r="AC29" s="610"/>
    </row>
    <row r="30" spans="1:29" s="611" customFormat="1" ht="63">
      <c r="A30" s="609">
        <v>10</v>
      </c>
      <c r="B30" s="609" t="s">
        <v>496</v>
      </c>
      <c r="C30" s="609" t="s">
        <v>513</v>
      </c>
      <c r="D30" s="609" t="s">
        <v>579</v>
      </c>
      <c r="E30" s="609">
        <v>10</v>
      </c>
      <c r="F30" s="609" t="s">
        <v>580</v>
      </c>
      <c r="G30" s="609" t="s">
        <v>581</v>
      </c>
      <c r="H30" s="609" t="s">
        <v>532</v>
      </c>
      <c r="I30" s="609">
        <v>0.95</v>
      </c>
      <c r="J30" s="609" t="s">
        <v>582</v>
      </c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 t="s">
        <v>512</v>
      </c>
      <c r="Z30" s="609">
        <v>4.21</v>
      </c>
      <c r="AA30" s="609">
        <v>0</v>
      </c>
      <c r="AB30" s="610"/>
      <c r="AC30" s="610"/>
    </row>
    <row r="31" spans="1:29" s="611" customFormat="1" ht="31.5">
      <c r="A31" s="609">
        <v>11</v>
      </c>
      <c r="B31" s="609" t="s">
        <v>496</v>
      </c>
      <c r="C31" s="609" t="s">
        <v>513</v>
      </c>
      <c r="D31" s="609" t="s">
        <v>514</v>
      </c>
      <c r="E31" s="609">
        <v>10</v>
      </c>
      <c r="F31" s="609" t="s">
        <v>583</v>
      </c>
      <c r="G31" s="609" t="s">
        <v>584</v>
      </c>
      <c r="H31" s="609" t="s">
        <v>568</v>
      </c>
      <c r="I31" s="609">
        <v>3</v>
      </c>
      <c r="J31" s="609" t="s">
        <v>514</v>
      </c>
      <c r="K31" s="609">
        <v>0</v>
      </c>
      <c r="L31" s="609">
        <v>0</v>
      </c>
      <c r="M31" s="609">
        <v>1</v>
      </c>
      <c r="N31" s="609">
        <v>0</v>
      </c>
      <c r="O31" s="609">
        <v>0</v>
      </c>
      <c r="P31" s="609">
        <v>1</v>
      </c>
      <c r="Q31" s="609">
        <v>0</v>
      </c>
      <c r="R31" s="609">
        <v>0</v>
      </c>
      <c r="S31" s="609">
        <v>0</v>
      </c>
      <c r="T31" s="609">
        <v>1</v>
      </c>
      <c r="U31" s="609">
        <v>0</v>
      </c>
      <c r="V31" s="609">
        <v>0</v>
      </c>
      <c r="W31" s="609"/>
      <c r="X31" s="609"/>
      <c r="Y31" s="609" t="s">
        <v>585</v>
      </c>
      <c r="Z31" s="609">
        <v>4.14</v>
      </c>
      <c r="AA31" s="609">
        <v>0</v>
      </c>
      <c r="AB31" s="610"/>
      <c r="AC31" s="610"/>
    </row>
    <row r="32" spans="1:29" s="611" customFormat="1" ht="78.75">
      <c r="A32" s="609">
        <v>11</v>
      </c>
      <c r="B32" s="609" t="s">
        <v>496</v>
      </c>
      <c r="C32" s="609" t="s">
        <v>513</v>
      </c>
      <c r="D32" s="609" t="s">
        <v>586</v>
      </c>
      <c r="E32" s="609">
        <v>10</v>
      </c>
      <c r="F32" s="609" t="s">
        <v>587</v>
      </c>
      <c r="G32" s="609" t="s">
        <v>588</v>
      </c>
      <c r="H32" s="609" t="s">
        <v>532</v>
      </c>
      <c r="I32" s="609">
        <v>27.48</v>
      </c>
      <c r="J32" s="609" t="s">
        <v>589</v>
      </c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 t="s">
        <v>512</v>
      </c>
      <c r="Z32" s="609">
        <v>4.21</v>
      </c>
      <c r="AA32" s="609">
        <v>0</v>
      </c>
      <c r="AB32" s="610"/>
      <c r="AC32" s="610"/>
    </row>
    <row r="33" spans="1:29" s="611" customFormat="1" ht="47.25">
      <c r="A33" s="609">
        <v>12</v>
      </c>
      <c r="B33" s="609" t="s">
        <v>496</v>
      </c>
      <c r="C33" s="609" t="s">
        <v>513</v>
      </c>
      <c r="D33" s="609" t="s">
        <v>506</v>
      </c>
      <c r="E33" s="609">
        <v>10</v>
      </c>
      <c r="F33" s="609" t="s">
        <v>590</v>
      </c>
      <c r="G33" s="609" t="s">
        <v>591</v>
      </c>
      <c r="H33" s="609" t="s">
        <v>568</v>
      </c>
      <c r="I33" s="609">
        <v>5</v>
      </c>
      <c r="J33" s="609" t="s">
        <v>592</v>
      </c>
      <c r="K33" s="609">
        <v>0</v>
      </c>
      <c r="L33" s="609">
        <v>0</v>
      </c>
      <c r="M33" s="609">
        <v>11</v>
      </c>
      <c r="N33" s="609">
        <v>0</v>
      </c>
      <c r="O33" s="609">
        <v>0</v>
      </c>
      <c r="P33" s="609">
        <v>9</v>
      </c>
      <c r="Q33" s="609">
        <v>0</v>
      </c>
      <c r="R33" s="609">
        <v>0</v>
      </c>
      <c r="S33" s="609">
        <v>0</v>
      </c>
      <c r="T33" s="609">
        <v>9</v>
      </c>
      <c r="U33" s="609">
        <v>2</v>
      </c>
      <c r="V33" s="609">
        <v>0</v>
      </c>
      <c r="W33" s="609" t="s">
        <v>570</v>
      </c>
      <c r="X33" s="609"/>
      <c r="Y33" s="609" t="s">
        <v>512</v>
      </c>
      <c r="Z33" s="609">
        <v>4.21</v>
      </c>
      <c r="AA33" s="609">
        <v>0</v>
      </c>
      <c r="AB33" s="610"/>
      <c r="AC33" s="610"/>
    </row>
    <row r="34" spans="1:29" s="611" customFormat="1" ht="35.25" customHeight="1">
      <c r="A34" s="609">
        <v>13</v>
      </c>
      <c r="B34" s="609" t="s">
        <v>496</v>
      </c>
      <c r="C34" s="609" t="s">
        <v>505</v>
      </c>
      <c r="D34" s="609" t="s">
        <v>593</v>
      </c>
      <c r="E34" s="609">
        <v>10</v>
      </c>
      <c r="F34" s="609" t="s">
        <v>594</v>
      </c>
      <c r="G34" s="609" t="s">
        <v>595</v>
      </c>
      <c r="H34" s="609" t="s">
        <v>501</v>
      </c>
      <c r="I34" s="609">
        <v>2.33</v>
      </c>
      <c r="J34" s="609" t="s">
        <v>596</v>
      </c>
      <c r="K34" s="609">
        <v>0</v>
      </c>
      <c r="L34" s="609">
        <v>0</v>
      </c>
      <c r="M34" s="609">
        <v>1</v>
      </c>
      <c r="N34" s="609">
        <v>0</v>
      </c>
      <c r="O34" s="609">
        <v>0</v>
      </c>
      <c r="P34" s="609">
        <v>0</v>
      </c>
      <c r="Q34" s="609">
        <v>0</v>
      </c>
      <c r="R34" s="609">
        <v>0</v>
      </c>
      <c r="S34" s="609">
        <v>0</v>
      </c>
      <c r="T34" s="609">
        <v>0</v>
      </c>
      <c r="U34" s="609">
        <v>1</v>
      </c>
      <c r="V34" s="609">
        <v>0</v>
      </c>
      <c r="W34" s="609" t="s">
        <v>597</v>
      </c>
      <c r="X34" s="609"/>
      <c r="Y34" s="609"/>
      <c r="Z34" s="609"/>
      <c r="AA34" s="609">
        <v>0</v>
      </c>
      <c r="AB34" s="610"/>
      <c r="AC34" s="610"/>
    </row>
    <row r="35" spans="1:29" s="611" customFormat="1" ht="63">
      <c r="A35" s="609">
        <v>14</v>
      </c>
      <c r="B35" s="609" t="s">
        <v>496</v>
      </c>
      <c r="C35" s="609" t="s">
        <v>505</v>
      </c>
      <c r="D35" s="609" t="s">
        <v>598</v>
      </c>
      <c r="E35" s="609">
        <v>10</v>
      </c>
      <c r="F35" s="609" t="s">
        <v>599</v>
      </c>
      <c r="G35" s="609" t="s">
        <v>600</v>
      </c>
      <c r="H35" s="609" t="s">
        <v>501</v>
      </c>
      <c r="I35" s="609">
        <v>4</v>
      </c>
      <c r="J35" s="609" t="s">
        <v>601</v>
      </c>
      <c r="K35" s="609">
        <v>0</v>
      </c>
      <c r="L35" s="609">
        <v>0</v>
      </c>
      <c r="M35" s="609">
        <v>2</v>
      </c>
      <c r="N35" s="609">
        <v>0</v>
      </c>
      <c r="O35" s="609">
        <v>0</v>
      </c>
      <c r="P35" s="609">
        <v>2</v>
      </c>
      <c r="Q35" s="609">
        <v>0</v>
      </c>
      <c r="R35" s="609">
        <v>0</v>
      </c>
      <c r="S35" s="609">
        <v>0</v>
      </c>
      <c r="T35" s="609">
        <v>2</v>
      </c>
      <c r="U35" s="609">
        <v>0</v>
      </c>
      <c r="V35" s="609">
        <v>0</v>
      </c>
      <c r="W35" s="609"/>
      <c r="X35" s="609"/>
      <c r="Y35" s="609"/>
      <c r="Z35" s="609"/>
      <c r="AA35" s="609">
        <v>0</v>
      </c>
      <c r="AB35" s="610"/>
      <c r="AC35" s="610"/>
    </row>
    <row r="36" s="611" customFormat="1" ht="16.5"/>
    <row r="37" s="611" customFormat="1" ht="16.5"/>
    <row r="38" s="611" customFormat="1" ht="16.5"/>
    <row r="39" s="611" customFormat="1" ht="16.5"/>
    <row r="40" s="611" customFormat="1" ht="16.5"/>
    <row r="41" s="611" customFormat="1" ht="16.5"/>
    <row r="42" s="611" customFormat="1" ht="16.5"/>
    <row r="43" s="611" customFormat="1" ht="16.5"/>
    <row r="44" s="611" customFormat="1" ht="16.5"/>
    <row r="45" s="611" customFormat="1" ht="16.5"/>
    <row r="46" s="611" customFormat="1" ht="16.5"/>
    <row r="47" s="611" customFormat="1" ht="16.5"/>
    <row r="48" s="611" customFormat="1" ht="16.5"/>
    <row r="49" s="611" customFormat="1" ht="16.5"/>
    <row r="50" s="611" customFormat="1" ht="16.5"/>
    <row r="51" s="611" customFormat="1" ht="16.5"/>
    <row r="52" s="611" customFormat="1" ht="16.5"/>
    <row r="53" s="611" customFormat="1" ht="16.5"/>
    <row r="54" s="611" customFormat="1" ht="16.5"/>
    <row r="55" s="611" customFormat="1" ht="16.5"/>
    <row r="56" s="611" customFormat="1" ht="16.5"/>
    <row r="57" s="611" customFormat="1" ht="16.5"/>
    <row r="58" s="611" customFormat="1" ht="16.5"/>
    <row r="59" s="611" customFormat="1" ht="16.5"/>
    <row r="60" s="611" customFormat="1" ht="16.5"/>
    <row r="61" s="611" customFormat="1" ht="16.5"/>
    <row r="62" s="611" customFormat="1" ht="16.5"/>
    <row r="63" s="611" customFormat="1" ht="16.5"/>
    <row r="64" s="611" customFormat="1" ht="16.5"/>
    <row r="65" s="611" customFormat="1" ht="16.5"/>
    <row r="66" s="611" customFormat="1" ht="16.5"/>
    <row r="67" s="611" customFormat="1" ht="16.5"/>
    <row r="68" s="611" customFormat="1" ht="16.5"/>
    <row r="69" s="611" customFormat="1" ht="16.5"/>
    <row r="70" s="611" customFormat="1" ht="16.5"/>
    <row r="71" s="611" customFormat="1" ht="16.5"/>
    <row r="72" s="611" customFormat="1" ht="16.5"/>
    <row r="73" s="611" customFormat="1" ht="16.5"/>
    <row r="74" s="611" customFormat="1" ht="16.5"/>
    <row r="75" s="611" customFormat="1" ht="16.5"/>
    <row r="76" s="611" customFormat="1" ht="16.5"/>
    <row r="77" s="611" customFormat="1" ht="16.5"/>
    <row r="78" s="611" customFormat="1" ht="16.5"/>
    <row r="79" s="611" customFormat="1" ht="16.5"/>
    <row r="80" s="611" customFormat="1" ht="16.5"/>
    <row r="81" s="611" customFormat="1" ht="16.5"/>
    <row r="82" s="611" customFormat="1" ht="16.5"/>
    <row r="83" s="611" customFormat="1" ht="16.5"/>
    <row r="84" s="611" customFormat="1" ht="16.5"/>
    <row r="85" s="611" customFormat="1" ht="16.5"/>
    <row r="86" s="611" customFormat="1" ht="16.5"/>
    <row r="87" s="611" customFormat="1" ht="16.5"/>
    <row r="88" s="611" customFormat="1" ht="16.5"/>
    <row r="89" s="611" customFormat="1" ht="16.5"/>
    <row r="90" s="611" customFormat="1" ht="16.5"/>
    <row r="91" s="611" customFormat="1" ht="16.5"/>
    <row r="92" s="611" customFormat="1" ht="16.5"/>
    <row r="93" s="611" customFormat="1" ht="16.5"/>
    <row r="94" s="611" customFormat="1" ht="16.5"/>
    <row r="95" s="611" customFormat="1" ht="16.5"/>
    <row r="96" s="611" customFormat="1" ht="16.5"/>
    <row r="97" s="611" customFormat="1" ht="16.5"/>
    <row r="98" s="611" customFormat="1" ht="16.5"/>
    <row r="99" s="611" customFormat="1" ht="16.5"/>
    <row r="100" s="611" customFormat="1" ht="16.5"/>
    <row r="101" s="611" customFormat="1" ht="16.5"/>
    <row r="102" s="611" customFormat="1" ht="16.5"/>
    <row r="103" s="611" customFormat="1" ht="16.5"/>
    <row r="104" s="611" customFormat="1" ht="16.5"/>
    <row r="105" s="611" customFormat="1" ht="16.5"/>
    <row r="106" s="611" customFormat="1" ht="16.5"/>
    <row r="107" s="611" customFormat="1" ht="16.5"/>
    <row r="108" s="611" customFormat="1" ht="16.5"/>
    <row r="109" s="611" customFormat="1" ht="16.5"/>
    <row r="110" s="611" customFormat="1" ht="16.5"/>
    <row r="111" s="611" customFormat="1" ht="16.5"/>
    <row r="112" s="611" customFormat="1" ht="16.5"/>
    <row r="113" s="611" customFormat="1" ht="16.5"/>
    <row r="114" s="611" customFormat="1" ht="16.5"/>
    <row r="115" s="611" customFormat="1" ht="16.5"/>
    <row r="116" s="611" customFormat="1" ht="16.5"/>
    <row r="117" s="611" customFormat="1" ht="16.5"/>
    <row r="118" s="611" customFormat="1" ht="16.5"/>
    <row r="119" s="611" customFormat="1" ht="16.5"/>
    <row r="120" s="611" customFormat="1" ht="16.5"/>
    <row r="121" s="611" customFormat="1" ht="16.5"/>
    <row r="122" s="611" customFormat="1" ht="16.5"/>
    <row r="123" s="611" customFormat="1" ht="16.5"/>
    <row r="124" s="611" customFormat="1" ht="16.5"/>
    <row r="125" s="611" customFormat="1" ht="16.5"/>
    <row r="126" s="611" customFormat="1" ht="16.5"/>
    <row r="127" s="611" customFormat="1" ht="16.5"/>
    <row r="128" s="611" customFormat="1" ht="16.5"/>
    <row r="129" s="611" customFormat="1" ht="16.5"/>
    <row r="130" s="611" customFormat="1" ht="16.5"/>
    <row r="131" s="611" customFormat="1" ht="16.5"/>
    <row r="132" s="611" customFormat="1" ht="16.5"/>
    <row r="133" s="611" customFormat="1" ht="16.5"/>
    <row r="134" s="611" customFormat="1" ht="16.5"/>
    <row r="135" s="611" customFormat="1" ht="16.5"/>
    <row r="136" s="611" customFormat="1" ht="16.5"/>
    <row r="137" s="611" customFormat="1" ht="16.5"/>
    <row r="138" s="611" customFormat="1" ht="16.5"/>
    <row r="139" s="611" customFormat="1" ht="16.5"/>
    <row r="140" s="611" customFormat="1" ht="16.5"/>
    <row r="141" s="611" customFormat="1" ht="16.5"/>
    <row r="142" s="611" customFormat="1" ht="16.5"/>
    <row r="143" s="611" customFormat="1" ht="16.5"/>
    <row r="144" s="611" customFormat="1" ht="16.5"/>
    <row r="145" s="611" customFormat="1" ht="16.5"/>
    <row r="146" s="611" customFormat="1" ht="16.5"/>
    <row r="147" s="611" customFormat="1" ht="16.5"/>
    <row r="148" s="611" customFormat="1" ht="16.5"/>
    <row r="149" s="611" customFormat="1" ht="16.5"/>
    <row r="150" s="611" customFormat="1" ht="16.5"/>
    <row r="151" s="611" customFormat="1" ht="16.5"/>
    <row r="152" s="611" customFormat="1" ht="16.5"/>
    <row r="153" s="611" customFormat="1" ht="16.5"/>
    <row r="154" s="611" customFormat="1" ht="16.5"/>
    <row r="155" s="611" customFormat="1" ht="16.5"/>
    <row r="156" s="611" customFormat="1" ht="16.5"/>
    <row r="157" s="611" customFormat="1" ht="16.5"/>
    <row r="158" s="611" customFormat="1" ht="16.5"/>
    <row r="159" s="611" customFormat="1" ht="16.5"/>
    <row r="160" s="611" customFormat="1" ht="16.5"/>
    <row r="161" s="611" customFormat="1" ht="16.5"/>
    <row r="162" s="611" customFormat="1" ht="16.5"/>
    <row r="163" s="611" customFormat="1" ht="16.5"/>
    <row r="164" s="611" customFormat="1" ht="16.5"/>
    <row r="165" s="611" customFormat="1" ht="16.5"/>
    <row r="166" s="611" customFormat="1" ht="16.5"/>
    <row r="167" s="611" customFormat="1" ht="16.5"/>
    <row r="168" s="611" customFormat="1" ht="16.5"/>
    <row r="169" s="611" customFormat="1" ht="16.5"/>
    <row r="170" s="611" customFormat="1" ht="16.5"/>
    <row r="171" s="611" customFormat="1" ht="16.5"/>
    <row r="172" s="611" customFormat="1" ht="16.5"/>
    <row r="173" s="611" customFormat="1" ht="16.5"/>
    <row r="174" s="611" customFormat="1" ht="16.5"/>
    <row r="175" s="611" customFormat="1" ht="16.5"/>
    <row r="176" s="611" customFormat="1" ht="16.5"/>
    <row r="177" s="611" customFormat="1" ht="16.5"/>
    <row r="178" s="611" customFormat="1" ht="16.5"/>
    <row r="179" s="611" customFormat="1" ht="16.5"/>
    <row r="180" s="611" customFormat="1" ht="16.5"/>
    <row r="181" s="611" customFormat="1" ht="16.5"/>
    <row r="182" s="611" customFormat="1" ht="16.5"/>
    <row r="183" s="611" customFormat="1" ht="16.5"/>
    <row r="184" s="611" customFormat="1" ht="16.5"/>
    <row r="185" s="611" customFormat="1" ht="16.5"/>
    <row r="186" s="611" customFormat="1" ht="16.5"/>
    <row r="187" s="611" customFormat="1" ht="16.5"/>
    <row r="188" s="611" customFormat="1" ht="16.5"/>
    <row r="189" s="611" customFormat="1" ht="16.5"/>
    <row r="190" s="611" customFormat="1" ht="16.5"/>
    <row r="191" s="611" customFormat="1" ht="16.5"/>
    <row r="192" s="611" customFormat="1" ht="16.5"/>
    <row r="193" s="611" customFormat="1" ht="16.5"/>
    <row r="194" s="611" customFormat="1" ht="16.5"/>
    <row r="195" s="611" customFormat="1" ht="16.5"/>
    <row r="196" s="611" customFormat="1" ht="16.5"/>
    <row r="197" s="611" customFormat="1" ht="16.5"/>
    <row r="198" s="611" customFormat="1" ht="16.5"/>
    <row r="199" s="611" customFormat="1" ht="16.5"/>
    <row r="200" s="611" customFormat="1" ht="16.5"/>
    <row r="201" s="611" customFormat="1" ht="16.5"/>
    <row r="202" s="611" customFormat="1" ht="16.5"/>
    <row r="203" s="611" customFormat="1" ht="16.5"/>
    <row r="204" s="611" customFormat="1" ht="16.5"/>
    <row r="205" s="611" customFormat="1" ht="16.5"/>
    <row r="206" s="611" customFormat="1" ht="16.5"/>
    <row r="207" s="611" customFormat="1" ht="16.5"/>
    <row r="208" s="611" customFormat="1" ht="16.5"/>
    <row r="209" s="611" customFormat="1" ht="16.5"/>
    <row r="210" s="611" customFormat="1" ht="16.5"/>
    <row r="211" s="611" customFormat="1" ht="16.5"/>
    <row r="212" s="611" customFormat="1" ht="16.5"/>
    <row r="213" s="611" customFormat="1" ht="16.5"/>
    <row r="214" s="611" customFormat="1" ht="16.5"/>
    <row r="215" s="611" customFormat="1" ht="16.5"/>
    <row r="216" s="611" customFormat="1" ht="16.5"/>
    <row r="217" s="611" customFormat="1" ht="16.5"/>
    <row r="218" s="611" customFormat="1" ht="16.5"/>
    <row r="219" s="611" customFormat="1" ht="16.5"/>
    <row r="220" s="611" customFormat="1" ht="16.5"/>
    <row r="221" s="611" customFormat="1" ht="16.5"/>
    <row r="222" s="611" customFormat="1" ht="16.5"/>
    <row r="223" s="611" customFormat="1" ht="16.5"/>
    <row r="224" s="611" customFormat="1" ht="16.5"/>
    <row r="225" s="611" customFormat="1" ht="16.5"/>
    <row r="226" s="611" customFormat="1" ht="16.5"/>
    <row r="227" s="611" customFormat="1" ht="16.5"/>
    <row r="228" s="611" customFormat="1" ht="16.5"/>
    <row r="229" s="611" customFormat="1" ht="16.5"/>
    <row r="230" s="611" customFormat="1" ht="16.5"/>
    <row r="231" s="611" customFormat="1" ht="16.5"/>
    <row r="232" s="611" customFormat="1" ht="16.5"/>
    <row r="233" s="611" customFormat="1" ht="16.5"/>
    <row r="234" s="611" customFormat="1" ht="16.5"/>
    <row r="235" s="611" customFormat="1" ht="16.5"/>
    <row r="236" s="611" customFormat="1" ht="16.5"/>
    <row r="237" s="611" customFormat="1" ht="16.5"/>
    <row r="238" s="611" customFormat="1" ht="16.5"/>
    <row r="239" s="611" customFormat="1" ht="16.5"/>
    <row r="240" s="611" customFormat="1" ht="16.5"/>
    <row r="241" s="611" customFormat="1" ht="16.5"/>
    <row r="242" s="611" customFormat="1" ht="16.5"/>
    <row r="243" s="611" customFormat="1" ht="16.5"/>
    <row r="244" s="611" customFormat="1" ht="16.5"/>
    <row r="245" s="611" customFormat="1" ht="16.5"/>
    <row r="246" s="611" customFormat="1" ht="16.5"/>
    <row r="247" s="611" customFormat="1" ht="16.5"/>
    <row r="248" s="611" customFormat="1" ht="16.5"/>
    <row r="249" s="611" customFormat="1" ht="16.5"/>
    <row r="250" s="611" customFormat="1" ht="16.5"/>
    <row r="251" s="611" customFormat="1" ht="16.5"/>
    <row r="252" s="611" customFormat="1" ht="16.5"/>
    <row r="253" s="611" customFormat="1" ht="16.5"/>
    <row r="254" s="611" customFormat="1" ht="16.5"/>
    <row r="255" s="611" customFormat="1" ht="16.5"/>
    <row r="256" s="611" customFormat="1" ht="16.5"/>
    <row r="257" s="611" customFormat="1" ht="16.5"/>
    <row r="258" s="611" customFormat="1" ht="16.5"/>
    <row r="259" s="611" customFormat="1" ht="16.5"/>
    <row r="260" s="611" customFormat="1" ht="16.5"/>
    <row r="261" s="611" customFormat="1" ht="16.5"/>
    <row r="262" s="611" customFormat="1" ht="16.5"/>
    <row r="263" s="611" customFormat="1" ht="16.5"/>
    <row r="264" s="611" customFormat="1" ht="16.5"/>
    <row r="265" s="611" customFormat="1" ht="16.5"/>
    <row r="266" s="611" customFormat="1" ht="16.5"/>
    <row r="267" s="611" customFormat="1" ht="16.5"/>
    <row r="268" s="611" customFormat="1" ht="16.5"/>
    <row r="269" s="611" customFormat="1" ht="16.5"/>
    <row r="270" s="611" customFormat="1" ht="16.5"/>
    <row r="271" s="611" customFormat="1" ht="16.5"/>
    <row r="272" s="611" customFormat="1" ht="16.5"/>
    <row r="273" s="611" customFormat="1" ht="16.5"/>
    <row r="274" s="611" customFormat="1" ht="16.5"/>
    <row r="275" s="611" customFormat="1" ht="16.5"/>
    <row r="276" s="611" customFormat="1" ht="16.5"/>
    <row r="277" s="611" customFormat="1" ht="16.5"/>
    <row r="278" s="611" customFormat="1" ht="16.5"/>
    <row r="279" s="611" customFormat="1" ht="16.5"/>
    <row r="280" s="611" customFormat="1" ht="16.5"/>
    <row r="281" s="611" customFormat="1" ht="16.5"/>
    <row r="282" s="611" customFormat="1" ht="16.5"/>
    <row r="283" s="611" customFormat="1" ht="16.5"/>
    <row r="284" s="611" customFormat="1" ht="16.5"/>
    <row r="285" s="611" customFormat="1" ht="16.5"/>
    <row r="286" s="611" customFormat="1" ht="16.5"/>
    <row r="287" s="611" customFormat="1" ht="16.5"/>
    <row r="288" s="611" customFormat="1" ht="16.5"/>
    <row r="289" s="611" customFormat="1" ht="16.5"/>
    <row r="290" s="611" customFormat="1" ht="16.5"/>
    <row r="291" s="611" customFormat="1" ht="16.5"/>
    <row r="292" s="611" customFormat="1" ht="16.5"/>
    <row r="293" s="611" customFormat="1" ht="16.5"/>
    <row r="294" s="611" customFormat="1" ht="16.5"/>
    <row r="295" s="611" customFormat="1" ht="16.5"/>
    <row r="296" s="611" customFormat="1" ht="16.5"/>
    <row r="297" s="611" customFormat="1" ht="16.5"/>
    <row r="298" s="611" customFormat="1" ht="16.5"/>
    <row r="299" s="611" customFormat="1" ht="16.5"/>
    <row r="300" s="611" customFormat="1" ht="16.5"/>
    <row r="301" s="611" customFormat="1" ht="16.5"/>
    <row r="302" s="611" customFormat="1" ht="16.5"/>
    <row r="303" s="611" customFormat="1" ht="16.5"/>
    <row r="304" s="611" customFormat="1" ht="16.5"/>
    <row r="305" s="611" customFormat="1" ht="16.5"/>
    <row r="306" s="611" customFormat="1" ht="16.5"/>
    <row r="307" s="611" customFormat="1" ht="16.5"/>
    <row r="308" s="611" customFormat="1" ht="16.5"/>
    <row r="309" s="611" customFormat="1" ht="16.5"/>
    <row r="310" s="611" customFormat="1" ht="16.5"/>
    <row r="311" s="611" customFormat="1" ht="16.5"/>
    <row r="312" s="611" customFormat="1" ht="16.5"/>
    <row r="313" s="611" customFormat="1" ht="16.5"/>
    <row r="314" s="611" customFormat="1" ht="16.5"/>
    <row r="315" s="611" customFormat="1" ht="16.5"/>
    <row r="316" s="611" customFormat="1" ht="16.5"/>
    <row r="317" s="611" customFormat="1" ht="16.5"/>
    <row r="318" s="611" customFormat="1" ht="16.5"/>
    <row r="319" s="611" customFormat="1" ht="16.5"/>
    <row r="320" s="611" customFormat="1" ht="16.5"/>
    <row r="321" s="611" customFormat="1" ht="16.5"/>
    <row r="322" s="611" customFormat="1" ht="16.5"/>
    <row r="323" s="611" customFormat="1" ht="16.5"/>
    <row r="324" s="611" customFormat="1" ht="16.5"/>
    <row r="325" s="611" customFormat="1" ht="16.5"/>
    <row r="326" s="611" customFormat="1" ht="16.5"/>
    <row r="327" s="611" customFormat="1" ht="16.5"/>
    <row r="328" s="611" customFormat="1" ht="16.5"/>
    <row r="329" s="611" customFormat="1" ht="16.5"/>
    <row r="330" s="611" customFormat="1" ht="16.5"/>
    <row r="331" s="611" customFormat="1" ht="16.5"/>
    <row r="332" s="611" customFormat="1" ht="16.5"/>
    <row r="333" s="611" customFormat="1" ht="16.5"/>
    <row r="334" s="611" customFormat="1" ht="16.5"/>
    <row r="335" s="611" customFormat="1" ht="16.5"/>
    <row r="336" s="611" customFormat="1" ht="16.5"/>
    <row r="337" s="611" customFormat="1" ht="16.5"/>
    <row r="338" s="611" customFormat="1" ht="16.5"/>
    <row r="339" s="611" customFormat="1" ht="16.5"/>
    <row r="340" s="611" customFormat="1" ht="16.5"/>
    <row r="341" s="611" customFormat="1" ht="16.5"/>
    <row r="342" s="611" customFormat="1" ht="16.5"/>
    <row r="343" s="611" customFormat="1" ht="16.5"/>
    <row r="344" s="611" customFormat="1" ht="16.5"/>
    <row r="345" s="611" customFormat="1" ht="16.5"/>
    <row r="346" s="611" customFormat="1" ht="16.5"/>
    <row r="347" s="611" customFormat="1" ht="16.5"/>
    <row r="348" s="611" customFormat="1" ht="16.5"/>
    <row r="349" s="611" customFormat="1" ht="16.5"/>
    <row r="350" s="611" customFormat="1" ht="16.5"/>
    <row r="351" s="611" customFormat="1" ht="16.5"/>
    <row r="352" s="611" customFormat="1" ht="16.5"/>
    <row r="353" s="611" customFormat="1" ht="16.5"/>
    <row r="354" s="611" customFormat="1" ht="16.5"/>
    <row r="355" s="611" customFormat="1" ht="16.5"/>
    <row r="356" s="611" customFormat="1" ht="16.5"/>
    <row r="357" s="611" customFormat="1" ht="16.5"/>
    <row r="358" s="611" customFormat="1" ht="16.5"/>
    <row r="359" s="611" customFormat="1" ht="16.5"/>
    <row r="360" s="611" customFormat="1" ht="16.5"/>
    <row r="361" s="611" customFormat="1" ht="16.5"/>
    <row r="362" s="611" customFormat="1" ht="16.5"/>
    <row r="363" s="611" customFormat="1" ht="16.5"/>
    <row r="364" s="611" customFormat="1" ht="16.5"/>
    <row r="365" s="611" customFormat="1" ht="16.5"/>
    <row r="366" s="611" customFormat="1" ht="16.5"/>
    <row r="367" s="611" customFormat="1" ht="16.5"/>
    <row r="368" s="611" customFormat="1" ht="16.5"/>
    <row r="369" s="611" customFormat="1" ht="16.5"/>
    <row r="370" s="611" customFormat="1" ht="16.5"/>
    <row r="371" s="611" customFormat="1" ht="16.5"/>
    <row r="372" s="611" customFormat="1" ht="16.5"/>
    <row r="373" s="611" customFormat="1" ht="16.5"/>
    <row r="374" s="611" customFormat="1" ht="16.5"/>
    <row r="375" s="611" customFormat="1" ht="16.5"/>
    <row r="376" s="611" customFormat="1" ht="16.5"/>
    <row r="377" s="611" customFormat="1" ht="16.5"/>
    <row r="378" s="611" customFormat="1" ht="16.5"/>
    <row r="379" s="611" customFormat="1" ht="16.5"/>
    <row r="380" s="611" customFormat="1" ht="16.5"/>
    <row r="381" s="611" customFormat="1" ht="16.5"/>
    <row r="382" s="611" customFormat="1" ht="16.5"/>
    <row r="383" s="611" customFormat="1" ht="16.5"/>
    <row r="384" s="611" customFormat="1" ht="16.5"/>
    <row r="385" s="611" customFormat="1" ht="16.5"/>
    <row r="386" s="611" customFormat="1" ht="16.5"/>
    <row r="387" s="611" customFormat="1" ht="16.5"/>
    <row r="388" s="611" customFormat="1" ht="16.5"/>
    <row r="389" s="611" customFormat="1" ht="16.5"/>
    <row r="390" s="611" customFormat="1" ht="16.5"/>
    <row r="391" s="611" customFormat="1" ht="16.5"/>
    <row r="392" s="611" customFormat="1" ht="16.5"/>
    <row r="393" s="611" customFormat="1" ht="16.5"/>
    <row r="394" s="611" customFormat="1" ht="16.5"/>
    <row r="395" s="611" customFormat="1" ht="16.5"/>
    <row r="396" s="611" customFormat="1" ht="16.5"/>
    <row r="397" s="611" customFormat="1" ht="16.5"/>
    <row r="398" s="611" customFormat="1" ht="16.5"/>
    <row r="399" s="611" customFormat="1" ht="16.5"/>
    <row r="400" s="611" customFormat="1" ht="16.5"/>
    <row r="401" s="611" customFormat="1" ht="16.5"/>
    <row r="402" s="611" customFormat="1" ht="16.5"/>
    <row r="403" s="611" customFormat="1" ht="16.5"/>
    <row r="404" s="611" customFormat="1" ht="16.5"/>
    <row r="405" s="611" customFormat="1" ht="16.5"/>
    <row r="406" s="611" customFormat="1" ht="16.5"/>
    <row r="407" s="611" customFormat="1" ht="16.5"/>
    <row r="408" s="611" customFormat="1" ht="16.5"/>
    <row r="409" s="611" customFormat="1" ht="16.5"/>
    <row r="410" s="611" customFormat="1" ht="16.5"/>
    <row r="411" s="611" customFormat="1" ht="16.5"/>
    <row r="412" s="611" customFormat="1" ht="16.5"/>
    <row r="413" s="611" customFormat="1" ht="16.5"/>
    <row r="414" s="611" customFormat="1" ht="16.5"/>
    <row r="415" s="611" customFormat="1" ht="16.5"/>
    <row r="416" s="611" customFormat="1" ht="16.5"/>
    <row r="417" s="611" customFormat="1" ht="16.5"/>
    <row r="418" s="611" customFormat="1" ht="16.5"/>
    <row r="419" s="611" customFormat="1" ht="16.5"/>
    <row r="420" s="611" customFormat="1" ht="16.5"/>
    <row r="421" s="611" customFormat="1" ht="16.5"/>
    <row r="422" s="611" customFormat="1" ht="16.5"/>
    <row r="423" s="611" customFormat="1" ht="16.5"/>
    <row r="424" s="611" customFormat="1" ht="16.5"/>
    <row r="425" s="611" customFormat="1" ht="16.5"/>
    <row r="426" s="611" customFormat="1" ht="16.5"/>
    <row r="427" s="611" customFormat="1" ht="16.5"/>
    <row r="428" s="611" customFormat="1" ht="16.5"/>
    <row r="429" s="611" customFormat="1" ht="16.5"/>
    <row r="430" s="611" customFormat="1" ht="16.5"/>
    <row r="431" s="611" customFormat="1" ht="16.5"/>
    <row r="432" s="611" customFormat="1" ht="16.5"/>
    <row r="433" s="611" customFormat="1" ht="16.5"/>
    <row r="434" s="611" customFormat="1" ht="16.5"/>
    <row r="435" s="611" customFormat="1" ht="16.5"/>
    <row r="436" s="611" customFormat="1" ht="16.5"/>
    <row r="437" s="611" customFormat="1" ht="16.5"/>
    <row r="438" s="611" customFormat="1" ht="16.5"/>
    <row r="439" s="611" customFormat="1" ht="16.5"/>
    <row r="440" s="611" customFormat="1" ht="16.5"/>
    <row r="441" s="611" customFormat="1" ht="16.5"/>
    <row r="442" s="611" customFormat="1" ht="16.5"/>
    <row r="443" s="611" customFormat="1" ht="16.5"/>
    <row r="444" s="611" customFormat="1" ht="16.5"/>
    <row r="445" s="611" customFormat="1" ht="16.5"/>
    <row r="446" s="611" customFormat="1" ht="16.5"/>
    <row r="447" s="611" customFormat="1" ht="16.5"/>
    <row r="448" s="611" customFormat="1" ht="16.5"/>
    <row r="449" s="611" customFormat="1" ht="16.5"/>
    <row r="450" s="611" customFormat="1" ht="16.5"/>
    <row r="451" s="611" customFormat="1" ht="16.5"/>
    <row r="452" s="611" customFormat="1" ht="16.5"/>
    <row r="453" s="611" customFormat="1" ht="16.5"/>
    <row r="454" s="611" customFormat="1" ht="16.5"/>
    <row r="455" s="611" customFormat="1" ht="16.5"/>
    <row r="456" s="611" customFormat="1" ht="16.5"/>
    <row r="457" s="611" customFormat="1" ht="16.5"/>
    <row r="458" s="611" customFormat="1" ht="16.5"/>
    <row r="459" s="611" customFormat="1" ht="16.5"/>
    <row r="460" s="611" customFormat="1" ht="16.5"/>
    <row r="461" s="611" customFormat="1" ht="16.5"/>
    <row r="462" s="611" customFormat="1" ht="16.5"/>
    <row r="463" s="611" customFormat="1" ht="16.5"/>
    <row r="464" s="611" customFormat="1" ht="16.5"/>
    <row r="465" s="611" customFormat="1" ht="16.5"/>
    <row r="466" s="611" customFormat="1" ht="16.5"/>
    <row r="467" s="611" customFormat="1" ht="16.5"/>
    <row r="468" s="611" customFormat="1" ht="16.5"/>
    <row r="469" s="611" customFormat="1" ht="16.5"/>
    <row r="470" s="611" customFormat="1" ht="16.5"/>
    <row r="471" s="611" customFormat="1" ht="16.5"/>
    <row r="472" s="611" customFormat="1" ht="16.5"/>
    <row r="473" s="611" customFormat="1" ht="16.5"/>
    <row r="474" s="611" customFormat="1" ht="16.5"/>
    <row r="475" s="611" customFormat="1" ht="16.5"/>
    <row r="476" s="611" customFormat="1" ht="16.5"/>
    <row r="477" s="611" customFormat="1" ht="16.5"/>
    <row r="478" s="611" customFormat="1" ht="16.5"/>
    <row r="479" s="611" customFormat="1" ht="16.5"/>
    <row r="480" s="611" customFormat="1" ht="16.5"/>
    <row r="481" s="611" customFormat="1" ht="16.5"/>
    <row r="482" s="611" customFormat="1" ht="16.5"/>
    <row r="483" s="611" customFormat="1" ht="16.5"/>
    <row r="484" s="611" customFormat="1" ht="16.5"/>
    <row r="485" s="611" customFormat="1" ht="16.5"/>
    <row r="486" s="611" customFormat="1" ht="16.5"/>
    <row r="487" s="611" customFormat="1" ht="16.5"/>
    <row r="488" s="611" customFormat="1" ht="16.5"/>
    <row r="489" s="611" customFormat="1" ht="16.5"/>
    <row r="490" s="611" customFormat="1" ht="16.5"/>
    <row r="491" s="611" customFormat="1" ht="16.5"/>
    <row r="492" s="611" customFormat="1" ht="16.5"/>
    <row r="493" s="611" customFormat="1" ht="16.5"/>
    <row r="494" s="611" customFormat="1" ht="16.5"/>
    <row r="495" s="611" customFormat="1" ht="16.5"/>
    <row r="496" s="611" customFormat="1" ht="16.5"/>
    <row r="497" s="611" customFormat="1" ht="16.5"/>
    <row r="498" s="611" customFormat="1" ht="16.5"/>
    <row r="499" s="611" customFormat="1" ht="16.5"/>
    <row r="500" s="611" customFormat="1" ht="16.5"/>
    <row r="501" s="611" customFormat="1" ht="16.5"/>
    <row r="502" s="611" customFormat="1" ht="16.5"/>
    <row r="503" s="611" customFormat="1" ht="16.5"/>
    <row r="504" s="611" customFormat="1" ht="16.5"/>
    <row r="505" s="611" customFormat="1" ht="16.5"/>
    <row r="506" s="611" customFormat="1" ht="16.5"/>
    <row r="507" s="611" customFormat="1" ht="16.5"/>
    <row r="508" s="611" customFormat="1" ht="16.5"/>
    <row r="509" s="611" customFormat="1" ht="16.5"/>
    <row r="510" s="611" customFormat="1" ht="16.5"/>
    <row r="511" s="611" customFormat="1" ht="16.5"/>
    <row r="512" s="611" customFormat="1" ht="16.5"/>
    <row r="513" s="611" customFormat="1" ht="16.5"/>
    <row r="514" s="611" customFormat="1" ht="16.5"/>
    <row r="515" s="611" customFormat="1" ht="16.5"/>
    <row r="516" s="611" customFormat="1" ht="16.5"/>
    <row r="517" s="611" customFormat="1" ht="16.5"/>
    <row r="518" s="611" customFormat="1" ht="16.5"/>
    <row r="519" s="611" customFormat="1" ht="16.5"/>
    <row r="520" s="611" customFormat="1" ht="16.5"/>
    <row r="521" s="611" customFormat="1" ht="16.5"/>
    <row r="522" s="611" customFormat="1" ht="16.5"/>
    <row r="523" s="611" customFormat="1" ht="16.5"/>
    <row r="524" s="611" customFormat="1" ht="16.5"/>
    <row r="525" s="611" customFormat="1" ht="16.5"/>
    <row r="526" s="611" customFormat="1" ht="16.5"/>
    <row r="527" s="611" customFormat="1" ht="16.5"/>
    <row r="528" s="611" customFormat="1" ht="16.5"/>
    <row r="529" s="611" customFormat="1" ht="16.5"/>
    <row r="530" s="611" customFormat="1" ht="16.5"/>
    <row r="531" s="611" customFormat="1" ht="16.5"/>
    <row r="532" s="611" customFormat="1" ht="16.5"/>
    <row r="533" s="611" customFormat="1" ht="16.5"/>
    <row r="534" s="611" customFormat="1" ht="16.5"/>
    <row r="535" s="611" customFormat="1" ht="16.5"/>
    <row r="536" s="611" customFormat="1" ht="16.5"/>
    <row r="537" s="611" customFormat="1" ht="16.5"/>
    <row r="538" s="611" customFormat="1" ht="16.5"/>
    <row r="539" s="611" customFormat="1" ht="16.5"/>
    <row r="540" s="611" customFormat="1" ht="16.5"/>
    <row r="541" s="611" customFormat="1" ht="16.5"/>
    <row r="542" s="611" customFormat="1" ht="16.5"/>
    <row r="543" s="611" customFormat="1" ht="16.5"/>
    <row r="544" s="611" customFormat="1" ht="16.5"/>
    <row r="545" s="611" customFormat="1" ht="16.5"/>
    <row r="546" s="611" customFormat="1" ht="16.5"/>
    <row r="547" s="611" customFormat="1" ht="16.5"/>
    <row r="548" s="611" customFormat="1" ht="16.5"/>
    <row r="549" s="611" customFormat="1" ht="16.5"/>
    <row r="550" s="611" customFormat="1" ht="16.5"/>
    <row r="551" s="611" customFormat="1" ht="16.5"/>
    <row r="552" s="611" customFormat="1" ht="16.5"/>
    <row r="553" s="611" customFormat="1" ht="16.5"/>
    <row r="554" s="611" customFormat="1" ht="16.5"/>
    <row r="555" s="611" customFormat="1" ht="16.5"/>
    <row r="556" s="611" customFormat="1" ht="16.5"/>
    <row r="557" s="611" customFormat="1" ht="16.5"/>
    <row r="558" s="611" customFormat="1" ht="16.5"/>
    <row r="559" s="611" customFormat="1" ht="16.5"/>
    <row r="560" s="611" customFormat="1" ht="16.5"/>
    <row r="561" s="611" customFormat="1" ht="16.5"/>
    <row r="562" s="611" customFormat="1" ht="16.5"/>
    <row r="563" s="611" customFormat="1" ht="16.5"/>
    <row r="564" s="611" customFormat="1" ht="16.5"/>
    <row r="565" s="611" customFormat="1" ht="16.5"/>
    <row r="566" s="611" customFormat="1" ht="16.5"/>
    <row r="567" s="611" customFormat="1" ht="16.5"/>
    <row r="568" s="611" customFormat="1" ht="16.5"/>
    <row r="569" s="611" customFormat="1" ht="16.5"/>
    <row r="570" s="611" customFormat="1" ht="16.5"/>
    <row r="571" s="611" customFormat="1" ht="16.5"/>
    <row r="572" s="611" customFormat="1" ht="16.5"/>
    <row r="573" s="611" customFormat="1" ht="16.5"/>
    <row r="574" s="611" customFormat="1" ht="16.5"/>
    <row r="575" s="611" customFormat="1" ht="16.5"/>
    <row r="576" s="611" customFormat="1" ht="16.5"/>
    <row r="577" s="611" customFormat="1" ht="16.5"/>
    <row r="578" s="611" customFormat="1" ht="16.5"/>
    <row r="579" s="611" customFormat="1" ht="16.5"/>
    <row r="580" s="611" customFormat="1" ht="16.5"/>
    <row r="581" s="611" customFormat="1" ht="16.5"/>
    <row r="582" s="611" customFormat="1" ht="16.5"/>
    <row r="583" s="611" customFormat="1" ht="16.5"/>
    <row r="584" s="611" customFormat="1" ht="16.5"/>
    <row r="585" s="611" customFormat="1" ht="16.5"/>
    <row r="586" s="611" customFormat="1" ht="16.5"/>
    <row r="587" s="611" customFormat="1" ht="16.5"/>
    <row r="588" s="611" customFormat="1" ht="16.5"/>
    <row r="589" s="611" customFormat="1" ht="16.5"/>
    <row r="590" s="611" customFormat="1" ht="16.5"/>
    <row r="591" s="611" customFormat="1" ht="16.5"/>
    <row r="592" s="611" customFormat="1" ht="16.5"/>
    <row r="593" s="611" customFormat="1" ht="16.5"/>
    <row r="594" s="611" customFormat="1" ht="16.5"/>
    <row r="595" s="611" customFormat="1" ht="16.5"/>
    <row r="596" s="611" customFormat="1" ht="16.5"/>
    <row r="597" s="611" customFormat="1" ht="16.5"/>
    <row r="598" s="611" customFormat="1" ht="16.5"/>
    <row r="599" s="611" customFormat="1" ht="16.5"/>
    <row r="600" s="611" customFormat="1" ht="16.5"/>
    <row r="601" s="611" customFormat="1" ht="16.5"/>
    <row r="602" s="611" customFormat="1" ht="16.5"/>
    <row r="603" s="611" customFormat="1" ht="16.5"/>
    <row r="604" s="611" customFormat="1" ht="16.5"/>
    <row r="605" s="611" customFormat="1" ht="16.5"/>
    <row r="606" s="611" customFormat="1" ht="16.5"/>
    <row r="607" s="611" customFormat="1" ht="16.5"/>
    <row r="608" s="611" customFormat="1" ht="16.5"/>
    <row r="609" s="611" customFormat="1" ht="16.5"/>
    <row r="610" s="611" customFormat="1" ht="16.5"/>
    <row r="611" s="611" customFormat="1" ht="16.5"/>
    <row r="612" s="611" customFormat="1" ht="16.5"/>
    <row r="613" s="611" customFormat="1" ht="16.5"/>
    <row r="614" s="611" customFormat="1" ht="16.5"/>
    <row r="615" s="611" customFormat="1" ht="16.5"/>
    <row r="616" s="611" customFormat="1" ht="16.5"/>
    <row r="617" s="611" customFormat="1" ht="16.5"/>
    <row r="618" s="611" customFormat="1" ht="16.5"/>
    <row r="619" s="611" customFormat="1" ht="16.5"/>
    <row r="620" s="611" customFormat="1" ht="16.5"/>
    <row r="621" s="611" customFormat="1" ht="16.5"/>
    <row r="622" s="611" customFormat="1" ht="16.5"/>
    <row r="623" s="611" customFormat="1" ht="16.5"/>
    <row r="624" s="611" customFormat="1" ht="16.5"/>
    <row r="625" s="611" customFormat="1" ht="16.5"/>
    <row r="626" s="611" customFormat="1" ht="16.5"/>
    <row r="627" s="611" customFormat="1" ht="16.5"/>
    <row r="628" s="611" customFormat="1" ht="16.5"/>
    <row r="629" s="611" customFormat="1" ht="16.5"/>
    <row r="630" s="611" customFormat="1" ht="16.5"/>
    <row r="631" s="611" customFormat="1" ht="16.5"/>
    <row r="632" s="611" customFormat="1" ht="16.5"/>
    <row r="633" s="611" customFormat="1" ht="16.5"/>
    <row r="634" s="611" customFormat="1" ht="16.5"/>
    <row r="635" s="611" customFormat="1" ht="16.5"/>
    <row r="636" s="611" customFormat="1" ht="16.5"/>
    <row r="637" s="611" customFormat="1" ht="16.5"/>
    <row r="638" s="611" customFormat="1" ht="16.5"/>
    <row r="639" s="611" customFormat="1" ht="16.5"/>
    <row r="640" s="611" customFormat="1" ht="16.5"/>
    <row r="641" s="611" customFormat="1" ht="16.5"/>
    <row r="642" s="611" customFormat="1" ht="16.5"/>
    <row r="643" s="611" customFormat="1" ht="16.5"/>
    <row r="644" s="611" customFormat="1" ht="16.5"/>
    <row r="645" s="611" customFormat="1" ht="16.5"/>
    <row r="646" s="611" customFormat="1" ht="16.5"/>
    <row r="647" s="611" customFormat="1" ht="16.5"/>
    <row r="648" s="611" customFormat="1" ht="16.5"/>
    <row r="649" s="611" customFormat="1" ht="16.5"/>
    <row r="650" s="611" customFormat="1" ht="16.5"/>
    <row r="651" s="611" customFormat="1" ht="16.5"/>
    <row r="652" s="611" customFormat="1" ht="16.5"/>
    <row r="653" s="611" customFormat="1" ht="16.5"/>
    <row r="654" s="611" customFormat="1" ht="16.5"/>
    <row r="655" s="611" customFormat="1" ht="16.5"/>
    <row r="656" s="611" customFormat="1" ht="16.5"/>
    <row r="657" s="611" customFormat="1" ht="16.5"/>
    <row r="658" s="611" customFormat="1" ht="16.5"/>
    <row r="659" s="611" customFormat="1" ht="16.5"/>
    <row r="660" s="611" customFormat="1" ht="16.5"/>
    <row r="661" s="611" customFormat="1" ht="16.5"/>
    <row r="662" s="611" customFormat="1" ht="16.5"/>
    <row r="663" s="611" customFormat="1" ht="16.5"/>
    <row r="664" s="611" customFormat="1" ht="16.5"/>
    <row r="665" s="611" customFormat="1" ht="16.5"/>
    <row r="666" s="611" customFormat="1" ht="16.5"/>
    <row r="667" s="611" customFormat="1" ht="16.5"/>
    <row r="668" s="611" customFormat="1" ht="16.5"/>
    <row r="669" s="611" customFormat="1" ht="16.5"/>
    <row r="670" s="611" customFormat="1" ht="16.5"/>
    <row r="671" s="611" customFormat="1" ht="16.5"/>
    <row r="672" s="611" customFormat="1" ht="16.5"/>
    <row r="673" s="611" customFormat="1" ht="16.5"/>
    <row r="674" s="611" customFormat="1" ht="16.5"/>
    <row r="675" s="611" customFormat="1" ht="16.5"/>
    <row r="676" s="611" customFormat="1" ht="16.5"/>
    <row r="677" s="611" customFormat="1" ht="16.5"/>
    <row r="678" s="611" customFormat="1" ht="16.5"/>
    <row r="679" s="611" customFormat="1" ht="16.5"/>
    <row r="680" s="611" customFormat="1" ht="16.5"/>
    <row r="681" s="611" customFormat="1" ht="16.5"/>
    <row r="682" s="611" customFormat="1" ht="16.5"/>
    <row r="683" s="611" customFormat="1" ht="16.5"/>
    <row r="684" s="611" customFormat="1" ht="16.5"/>
    <row r="685" s="611" customFormat="1" ht="16.5"/>
    <row r="686" s="611" customFormat="1" ht="16.5"/>
    <row r="687" s="611" customFormat="1" ht="16.5"/>
    <row r="688" s="611" customFormat="1" ht="16.5"/>
    <row r="689" s="611" customFormat="1" ht="16.5"/>
    <row r="690" s="611" customFormat="1" ht="16.5"/>
    <row r="691" s="611" customFormat="1" ht="16.5"/>
    <row r="692" s="611" customFormat="1" ht="16.5"/>
    <row r="693" s="611" customFormat="1" ht="16.5"/>
    <row r="694" s="611" customFormat="1" ht="16.5"/>
    <row r="695" s="611" customFormat="1" ht="16.5"/>
    <row r="696" s="611" customFormat="1" ht="16.5"/>
    <row r="697" s="611" customFormat="1" ht="16.5"/>
    <row r="698" s="611" customFormat="1" ht="16.5"/>
    <row r="699" s="611" customFormat="1" ht="16.5"/>
    <row r="700" s="611" customFormat="1" ht="16.5"/>
    <row r="701" s="611" customFormat="1" ht="16.5"/>
    <row r="702" s="611" customFormat="1" ht="16.5"/>
    <row r="703" s="611" customFormat="1" ht="16.5"/>
    <row r="704" s="611" customFormat="1" ht="16.5"/>
    <row r="705" s="611" customFormat="1" ht="16.5"/>
    <row r="706" s="611" customFormat="1" ht="16.5"/>
    <row r="707" s="611" customFormat="1" ht="16.5"/>
    <row r="708" s="611" customFormat="1" ht="16.5"/>
    <row r="709" s="611" customFormat="1" ht="16.5"/>
    <row r="710" s="611" customFormat="1" ht="16.5"/>
    <row r="711" s="611" customFormat="1" ht="16.5"/>
    <row r="712" s="611" customFormat="1" ht="16.5"/>
    <row r="713" s="611" customFormat="1" ht="16.5"/>
    <row r="714" s="611" customFormat="1" ht="16.5"/>
    <row r="715" s="611" customFormat="1" ht="16.5"/>
    <row r="716" s="611" customFormat="1" ht="16.5"/>
    <row r="717" s="611" customFormat="1" ht="16.5"/>
    <row r="718" s="611" customFormat="1" ht="16.5"/>
    <row r="719" s="611" customFormat="1" ht="16.5"/>
    <row r="720" s="611" customFormat="1" ht="16.5"/>
    <row r="721" s="611" customFormat="1" ht="16.5"/>
    <row r="722" s="611" customFormat="1" ht="16.5"/>
    <row r="723" s="611" customFormat="1" ht="16.5"/>
    <row r="724" s="611" customFormat="1" ht="16.5"/>
    <row r="725" s="611" customFormat="1" ht="16.5"/>
    <row r="726" s="611" customFormat="1" ht="16.5"/>
    <row r="727" s="611" customFormat="1" ht="16.5"/>
    <row r="728" s="611" customFormat="1" ht="16.5"/>
    <row r="729" s="611" customFormat="1" ht="16.5"/>
    <row r="730" s="611" customFormat="1" ht="16.5"/>
    <row r="731" s="611" customFormat="1" ht="16.5"/>
    <row r="732" s="611" customFormat="1" ht="16.5"/>
    <row r="733" s="611" customFormat="1" ht="16.5"/>
    <row r="734" s="611" customFormat="1" ht="16.5"/>
    <row r="735" s="611" customFormat="1" ht="16.5"/>
    <row r="736" s="611" customFormat="1" ht="16.5"/>
    <row r="737" s="611" customFormat="1" ht="16.5"/>
    <row r="738" s="611" customFormat="1" ht="16.5"/>
    <row r="739" s="611" customFormat="1" ht="16.5"/>
    <row r="740" s="611" customFormat="1" ht="16.5"/>
    <row r="741" s="611" customFormat="1" ht="16.5"/>
    <row r="742" s="611" customFormat="1" ht="16.5"/>
    <row r="743" s="611" customFormat="1" ht="16.5"/>
    <row r="744" s="611" customFormat="1" ht="16.5"/>
    <row r="745" s="611" customFormat="1" ht="16.5"/>
    <row r="746" s="611" customFormat="1" ht="16.5"/>
    <row r="747" s="611" customFormat="1" ht="16.5"/>
    <row r="748" s="611" customFormat="1" ht="16.5"/>
    <row r="749" s="611" customFormat="1" ht="16.5"/>
    <row r="750" s="611" customFormat="1" ht="16.5"/>
    <row r="751" s="611" customFormat="1" ht="16.5"/>
    <row r="752" s="611" customFormat="1" ht="16.5"/>
    <row r="753" s="611" customFormat="1" ht="16.5"/>
    <row r="754" s="611" customFormat="1" ht="16.5"/>
    <row r="755" s="611" customFormat="1" ht="16.5"/>
    <row r="756" s="611" customFormat="1" ht="16.5"/>
    <row r="757" s="611" customFormat="1" ht="16.5"/>
    <row r="758" s="611" customFormat="1" ht="16.5"/>
    <row r="759" s="611" customFormat="1" ht="16.5"/>
    <row r="760" s="611" customFormat="1" ht="16.5"/>
    <row r="761" s="611" customFormat="1" ht="16.5"/>
    <row r="762" s="611" customFormat="1" ht="16.5"/>
    <row r="763" s="611" customFormat="1" ht="16.5"/>
    <row r="764" s="611" customFormat="1" ht="16.5"/>
    <row r="765" s="611" customFormat="1" ht="16.5"/>
    <row r="766" s="611" customFormat="1" ht="16.5"/>
    <row r="767" s="611" customFormat="1" ht="16.5"/>
    <row r="768" s="611" customFormat="1" ht="16.5"/>
    <row r="769" s="611" customFormat="1" ht="16.5"/>
    <row r="770" s="611" customFormat="1" ht="16.5"/>
    <row r="771" s="611" customFormat="1" ht="16.5"/>
    <row r="772" s="611" customFormat="1" ht="16.5"/>
    <row r="773" s="611" customFormat="1" ht="16.5"/>
    <row r="774" s="611" customFormat="1" ht="16.5"/>
    <row r="775" s="611" customFormat="1" ht="16.5"/>
    <row r="776" s="611" customFormat="1" ht="16.5"/>
    <row r="777" s="611" customFormat="1" ht="16.5"/>
    <row r="778" s="611" customFormat="1" ht="16.5"/>
    <row r="779" s="611" customFormat="1" ht="16.5"/>
    <row r="780" s="611" customFormat="1" ht="16.5"/>
    <row r="781" s="611" customFormat="1" ht="16.5"/>
    <row r="782" s="611" customFormat="1" ht="16.5"/>
    <row r="783" s="611" customFormat="1" ht="16.5"/>
    <row r="784" s="611" customFormat="1" ht="16.5"/>
    <row r="785" s="611" customFormat="1" ht="16.5"/>
    <row r="786" s="611" customFormat="1" ht="16.5"/>
    <row r="787" s="611" customFormat="1" ht="16.5"/>
    <row r="788" s="611" customFormat="1" ht="16.5"/>
    <row r="789" s="611" customFormat="1" ht="16.5"/>
    <row r="790" s="611" customFormat="1" ht="16.5"/>
    <row r="791" s="611" customFormat="1" ht="16.5"/>
    <row r="792" s="611" customFormat="1" ht="16.5"/>
    <row r="793" s="611" customFormat="1" ht="16.5"/>
    <row r="794" s="611" customFormat="1" ht="16.5"/>
    <row r="795" s="611" customFormat="1" ht="16.5"/>
    <row r="796" s="611" customFormat="1" ht="16.5"/>
    <row r="797" s="611" customFormat="1" ht="16.5"/>
    <row r="798" s="611" customFormat="1" ht="16.5"/>
    <row r="799" s="611" customFormat="1" ht="16.5"/>
    <row r="800" s="611" customFormat="1" ht="16.5"/>
    <row r="801" s="611" customFormat="1" ht="16.5"/>
    <row r="802" s="611" customFormat="1" ht="16.5"/>
    <row r="803" s="611" customFormat="1" ht="16.5"/>
    <row r="804" s="611" customFormat="1" ht="16.5"/>
    <row r="805" s="611" customFormat="1" ht="16.5"/>
    <row r="806" s="611" customFormat="1" ht="16.5"/>
    <row r="807" s="611" customFormat="1" ht="16.5"/>
    <row r="808" s="611" customFormat="1" ht="16.5"/>
    <row r="809" s="611" customFormat="1" ht="16.5"/>
    <row r="810" s="611" customFormat="1" ht="16.5"/>
    <row r="811" s="611" customFormat="1" ht="16.5"/>
    <row r="812" s="611" customFormat="1" ht="16.5"/>
    <row r="813" s="611" customFormat="1" ht="16.5"/>
    <row r="814" s="611" customFormat="1" ht="16.5"/>
    <row r="815" s="611" customFormat="1" ht="16.5"/>
    <row r="816" s="611" customFormat="1" ht="16.5"/>
    <row r="817" s="611" customFormat="1" ht="16.5"/>
    <row r="818" s="611" customFormat="1" ht="16.5"/>
    <row r="819" s="611" customFormat="1" ht="16.5"/>
    <row r="820" s="611" customFormat="1" ht="16.5"/>
    <row r="821" s="611" customFormat="1" ht="16.5"/>
    <row r="822" s="611" customFormat="1" ht="16.5"/>
    <row r="823" s="611" customFormat="1" ht="16.5"/>
    <row r="824" s="611" customFormat="1" ht="16.5"/>
    <row r="825" s="611" customFormat="1" ht="16.5"/>
    <row r="826" s="611" customFormat="1" ht="16.5"/>
    <row r="827" s="611" customFormat="1" ht="16.5"/>
    <row r="828" s="611" customFormat="1" ht="16.5"/>
    <row r="829" s="611" customFormat="1" ht="16.5"/>
    <row r="830" s="611" customFormat="1" ht="16.5"/>
    <row r="831" s="611" customFormat="1" ht="16.5"/>
    <row r="832" s="611" customFormat="1" ht="16.5"/>
    <row r="833" s="611" customFormat="1" ht="16.5"/>
    <row r="834" s="611" customFormat="1" ht="16.5"/>
    <row r="835" s="611" customFormat="1" ht="16.5"/>
    <row r="836" s="611" customFormat="1" ht="16.5"/>
    <row r="837" s="611" customFormat="1" ht="16.5"/>
    <row r="838" s="611" customFormat="1" ht="16.5"/>
    <row r="839" s="611" customFormat="1" ht="16.5"/>
    <row r="840" s="611" customFormat="1" ht="16.5"/>
    <row r="841" s="611" customFormat="1" ht="16.5"/>
    <row r="842" s="611" customFormat="1" ht="16.5"/>
    <row r="843" s="611" customFormat="1" ht="16.5"/>
    <row r="844" s="611" customFormat="1" ht="16.5"/>
    <row r="845" s="611" customFormat="1" ht="16.5"/>
    <row r="846" s="611" customFormat="1" ht="16.5"/>
    <row r="847" s="611" customFormat="1" ht="16.5"/>
    <row r="848" s="611" customFormat="1" ht="16.5"/>
    <row r="849" s="611" customFormat="1" ht="16.5"/>
    <row r="850" s="611" customFormat="1" ht="16.5"/>
    <row r="851" s="611" customFormat="1" ht="16.5"/>
    <row r="852" s="611" customFormat="1" ht="16.5"/>
    <row r="853" s="611" customFormat="1" ht="16.5"/>
    <row r="854" s="611" customFormat="1" ht="16.5"/>
    <row r="855" s="611" customFormat="1" ht="16.5"/>
    <row r="856" s="611" customFormat="1" ht="16.5"/>
    <row r="857" s="611" customFormat="1" ht="16.5"/>
    <row r="858" s="611" customFormat="1" ht="16.5"/>
    <row r="859" s="611" customFormat="1" ht="16.5"/>
    <row r="860" s="611" customFormat="1" ht="16.5"/>
    <row r="861" s="611" customFormat="1" ht="16.5"/>
    <row r="862" s="611" customFormat="1" ht="16.5"/>
    <row r="863" s="611" customFormat="1" ht="16.5"/>
    <row r="864" s="611" customFormat="1" ht="16.5"/>
    <row r="865" s="611" customFormat="1" ht="16.5"/>
    <row r="866" s="611" customFormat="1" ht="16.5"/>
    <row r="867" s="611" customFormat="1" ht="16.5"/>
    <row r="868" s="611" customFormat="1" ht="16.5"/>
    <row r="869" s="611" customFormat="1" ht="16.5"/>
    <row r="870" s="611" customFormat="1" ht="16.5"/>
    <row r="871" s="611" customFormat="1" ht="16.5"/>
    <row r="872" s="611" customFormat="1" ht="16.5"/>
    <row r="873" s="611" customFormat="1" ht="16.5"/>
    <row r="874" s="611" customFormat="1" ht="16.5"/>
    <row r="875" s="611" customFormat="1" ht="16.5"/>
    <row r="876" s="611" customFormat="1" ht="16.5"/>
    <row r="877" s="611" customFormat="1" ht="16.5"/>
    <row r="878" s="611" customFormat="1" ht="16.5"/>
    <row r="879" s="611" customFormat="1" ht="16.5"/>
    <row r="880" s="611" customFormat="1" ht="16.5"/>
    <row r="881" s="611" customFormat="1" ht="16.5"/>
    <row r="882" s="611" customFormat="1" ht="16.5"/>
    <row r="883" s="611" customFormat="1" ht="16.5"/>
    <row r="884" s="611" customFormat="1" ht="16.5"/>
    <row r="885" s="611" customFormat="1" ht="16.5"/>
    <row r="886" s="611" customFormat="1" ht="16.5"/>
    <row r="887" s="611" customFormat="1" ht="16.5"/>
    <row r="888" s="611" customFormat="1" ht="16.5"/>
    <row r="889" s="611" customFormat="1" ht="16.5"/>
    <row r="890" s="611" customFormat="1" ht="16.5"/>
    <row r="891" s="611" customFormat="1" ht="16.5"/>
    <row r="892" s="611" customFormat="1" ht="16.5"/>
    <row r="893" s="611" customFormat="1" ht="16.5"/>
    <row r="894" s="611" customFormat="1" ht="16.5"/>
    <row r="895" s="611" customFormat="1" ht="16.5"/>
    <row r="896" s="611" customFormat="1" ht="16.5"/>
    <row r="897" s="611" customFormat="1" ht="16.5"/>
    <row r="898" s="611" customFormat="1" ht="16.5"/>
    <row r="899" s="611" customFormat="1" ht="16.5"/>
    <row r="900" s="611" customFormat="1" ht="16.5"/>
    <row r="901" s="611" customFormat="1" ht="16.5"/>
    <row r="902" s="611" customFormat="1" ht="16.5"/>
    <row r="903" s="611" customFormat="1" ht="16.5"/>
    <row r="904" s="611" customFormat="1" ht="16.5"/>
    <row r="905" s="611" customFormat="1" ht="16.5"/>
    <row r="906" s="611" customFormat="1" ht="16.5"/>
    <row r="907" s="611" customFormat="1" ht="16.5"/>
    <row r="908" s="611" customFormat="1" ht="16.5"/>
    <row r="909" s="611" customFormat="1" ht="16.5"/>
    <row r="910" s="611" customFormat="1" ht="16.5"/>
    <row r="911" s="611" customFormat="1" ht="16.5"/>
    <row r="912" s="611" customFormat="1" ht="16.5"/>
    <row r="913" s="611" customFormat="1" ht="16.5"/>
    <row r="914" s="611" customFormat="1" ht="16.5"/>
    <row r="915" s="611" customFormat="1" ht="16.5"/>
    <row r="916" s="611" customFormat="1" ht="16.5"/>
    <row r="917" s="611" customFormat="1" ht="16.5"/>
    <row r="918" s="611" customFormat="1" ht="16.5"/>
    <row r="919" s="611" customFormat="1" ht="16.5"/>
    <row r="920" s="611" customFormat="1" ht="16.5"/>
    <row r="921" s="611" customFormat="1" ht="16.5"/>
    <row r="922" s="611" customFormat="1" ht="16.5"/>
    <row r="923" s="611" customFormat="1" ht="16.5"/>
    <row r="924" s="611" customFormat="1" ht="16.5"/>
    <row r="925" s="611" customFormat="1" ht="16.5"/>
    <row r="926" s="611" customFormat="1" ht="16.5"/>
    <row r="927" s="611" customFormat="1" ht="16.5"/>
    <row r="928" s="611" customFormat="1" ht="16.5"/>
    <row r="929" s="611" customFormat="1" ht="16.5"/>
    <row r="930" s="611" customFormat="1" ht="16.5"/>
    <row r="931" s="611" customFormat="1" ht="16.5"/>
    <row r="932" s="611" customFormat="1" ht="16.5"/>
    <row r="933" s="611" customFormat="1" ht="16.5"/>
    <row r="934" s="611" customFormat="1" ht="16.5"/>
    <row r="935" s="611" customFormat="1" ht="16.5"/>
    <row r="936" s="611" customFormat="1" ht="16.5"/>
    <row r="937" s="611" customFormat="1" ht="16.5"/>
    <row r="938" s="611" customFormat="1" ht="16.5"/>
    <row r="939" s="611" customFormat="1" ht="16.5"/>
    <row r="940" s="611" customFormat="1" ht="16.5"/>
    <row r="941" s="611" customFormat="1" ht="16.5"/>
    <row r="942" s="611" customFormat="1" ht="16.5"/>
    <row r="943" s="611" customFormat="1" ht="16.5"/>
    <row r="944" s="611" customFormat="1" ht="16.5"/>
    <row r="945" s="611" customFormat="1" ht="16.5"/>
    <row r="946" s="611" customFormat="1" ht="16.5"/>
    <row r="947" s="611" customFormat="1" ht="16.5"/>
    <row r="948" s="611" customFormat="1" ht="16.5"/>
    <row r="949" s="611" customFormat="1" ht="16.5"/>
    <row r="950" s="611" customFormat="1" ht="16.5"/>
    <row r="951" s="611" customFormat="1" ht="16.5"/>
    <row r="952" s="611" customFormat="1" ht="16.5"/>
    <row r="953" s="611" customFormat="1" ht="16.5"/>
    <row r="954" s="611" customFormat="1" ht="16.5"/>
    <row r="955" s="611" customFormat="1" ht="16.5"/>
    <row r="956" s="611" customFormat="1" ht="16.5"/>
    <row r="957" s="611" customFormat="1" ht="16.5"/>
    <row r="958" s="611" customFormat="1" ht="16.5"/>
    <row r="959" s="611" customFormat="1" ht="16.5"/>
    <row r="960" s="611" customFormat="1" ht="16.5"/>
    <row r="961" s="611" customFormat="1" ht="16.5"/>
    <row r="962" s="611" customFormat="1" ht="16.5"/>
    <row r="963" s="611" customFormat="1" ht="16.5"/>
    <row r="964" s="611" customFormat="1" ht="16.5"/>
    <row r="965" s="611" customFormat="1" ht="16.5"/>
    <row r="966" s="611" customFormat="1" ht="16.5"/>
    <row r="967" s="611" customFormat="1" ht="16.5"/>
    <row r="968" s="611" customFormat="1" ht="16.5"/>
    <row r="969" s="611" customFormat="1" ht="16.5"/>
    <row r="970" s="611" customFormat="1" ht="16.5"/>
    <row r="971" s="611" customFormat="1" ht="16.5"/>
    <row r="972" s="611" customFormat="1" ht="16.5"/>
    <row r="973" s="611" customFormat="1" ht="16.5"/>
    <row r="974" s="611" customFormat="1" ht="16.5"/>
    <row r="975" s="611" customFormat="1" ht="16.5"/>
    <row r="976" s="611" customFormat="1" ht="16.5"/>
    <row r="977" s="611" customFormat="1" ht="16.5"/>
    <row r="978" s="611" customFormat="1" ht="16.5"/>
    <row r="979" s="611" customFormat="1" ht="16.5"/>
    <row r="980" s="611" customFormat="1" ht="16.5"/>
    <row r="981" s="611" customFormat="1" ht="16.5"/>
    <row r="982" s="611" customFormat="1" ht="16.5"/>
    <row r="983" s="611" customFormat="1" ht="16.5"/>
    <row r="984" s="611" customFormat="1" ht="16.5"/>
    <row r="985" s="611" customFormat="1" ht="16.5"/>
    <row r="986" s="611" customFormat="1" ht="16.5"/>
    <row r="987" s="611" customFormat="1" ht="16.5"/>
    <row r="988" s="611" customFormat="1" ht="16.5"/>
    <row r="989" s="611" customFormat="1" ht="16.5"/>
    <row r="990" s="611" customFormat="1" ht="16.5"/>
    <row r="991" s="611" customFormat="1" ht="16.5"/>
    <row r="992" s="611" customFormat="1" ht="16.5"/>
    <row r="993" s="611" customFormat="1" ht="16.5"/>
    <row r="994" s="611" customFormat="1" ht="16.5"/>
    <row r="995" s="611" customFormat="1" ht="16.5"/>
    <row r="996" s="611" customFormat="1" ht="16.5"/>
    <row r="997" s="611" customFormat="1" ht="16.5"/>
    <row r="998" s="611" customFormat="1" ht="16.5"/>
    <row r="999" s="611" customFormat="1" ht="16.5"/>
    <row r="1000" s="611" customFormat="1" ht="16.5"/>
  </sheetData>
  <sheetProtection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:D3"/>
    </sheetView>
  </sheetViews>
  <sheetFormatPr defaultColWidth="9.00390625" defaultRowHeight="15.75"/>
  <cols>
    <col min="1" max="1" width="8.00390625" style="586" customWidth="1"/>
    <col min="2" max="2" width="6.75390625" style="586" customWidth="1"/>
    <col min="3" max="3" width="70.00390625" style="586" customWidth="1"/>
    <col min="4" max="4" width="37.625" style="586" customWidth="1"/>
    <col min="5" max="5" width="8.00390625" style="586" customWidth="1"/>
    <col min="6" max="16384" width="9.00390625" style="584" customWidth="1"/>
  </cols>
  <sheetData>
    <row r="1" ht="16.5">
      <c r="A1" s="612"/>
    </row>
    <row r="2" spans="2:4" ht="44.25" customHeight="1">
      <c r="B2" s="613" t="s">
        <v>602</v>
      </c>
      <c r="C2" s="614"/>
      <c r="D2" s="615"/>
    </row>
    <row r="3" spans="2:4" ht="17.25" customHeight="1" thickBot="1">
      <c r="B3" s="616" t="s">
        <v>462</v>
      </c>
      <c r="C3" s="616"/>
      <c r="D3" s="616"/>
    </row>
    <row r="4" spans="2:4" ht="16.5">
      <c r="B4" s="617" t="s">
        <v>603</v>
      </c>
      <c r="C4" s="618"/>
      <c r="D4" s="612"/>
    </row>
    <row r="5" spans="2:4" ht="17.25" customHeight="1" thickBot="1">
      <c r="B5" s="619" t="s">
        <v>604</v>
      </c>
      <c r="C5" s="620">
        <v>2017</v>
      </c>
      <c r="D5" s="586" t="s">
        <v>426</v>
      </c>
    </row>
    <row r="6" spans="2:4" ht="6.75" customHeight="1" thickBot="1">
      <c r="B6" s="619"/>
      <c r="C6" s="619"/>
      <c r="D6" s="612"/>
    </row>
    <row r="7" spans="2:3" ht="17.25" customHeight="1" hidden="1">
      <c r="B7" s="619"/>
      <c r="C7" s="619"/>
    </row>
    <row r="8" spans="2:4" ht="17.25" customHeight="1" thickBot="1">
      <c r="B8" s="621" t="s">
        <v>428</v>
      </c>
      <c r="C8" s="622" t="s">
        <v>429</v>
      </c>
      <c r="D8" s="623" t="s">
        <v>430</v>
      </c>
    </row>
    <row r="9" spans="2:4" ht="68.25" customHeight="1" thickBot="1">
      <c r="B9" s="621">
        <v>1</v>
      </c>
      <c r="C9" s="621" t="s">
        <v>605</v>
      </c>
      <c r="D9" s="624">
        <v>669</v>
      </c>
    </row>
    <row r="10" spans="2:4" ht="17.25" customHeight="1" thickBot="1">
      <c r="B10" s="625" t="s">
        <v>606</v>
      </c>
      <c r="C10" s="621" t="s">
        <v>607</v>
      </c>
      <c r="D10" s="624">
        <v>0</v>
      </c>
    </row>
    <row r="11" spans="2:4" ht="17.25" customHeight="1" thickBot="1">
      <c r="B11" s="621" t="s">
        <v>608</v>
      </c>
      <c r="C11" s="621" t="s">
        <v>609</v>
      </c>
      <c r="D11" s="624">
        <v>0</v>
      </c>
    </row>
    <row r="12" spans="2:4" ht="17.25" customHeight="1" thickBot="1">
      <c r="B12" s="621" t="s">
        <v>610</v>
      </c>
      <c r="C12" s="621" t="s">
        <v>611</v>
      </c>
      <c r="D12" s="624">
        <v>359</v>
      </c>
    </row>
    <row r="13" spans="2:4" ht="20.25" customHeight="1" thickBot="1">
      <c r="B13" s="621" t="s">
        <v>612</v>
      </c>
      <c r="C13" s="621" t="s">
        <v>613</v>
      </c>
      <c r="D13" s="624">
        <v>310</v>
      </c>
    </row>
    <row r="14" spans="2:4" ht="41.25" customHeight="1" thickBot="1">
      <c r="B14" s="621">
        <v>2</v>
      </c>
      <c r="C14" s="621" t="s">
        <v>614</v>
      </c>
      <c r="D14" s="624"/>
    </row>
    <row r="15" spans="2:4" ht="33" customHeight="1" thickBot="1">
      <c r="B15" s="621">
        <v>3</v>
      </c>
      <c r="C15" s="621" t="s">
        <v>615</v>
      </c>
      <c r="D15" s="624"/>
    </row>
    <row r="16" spans="2:4" ht="46.5" customHeight="1" thickBot="1">
      <c r="B16" s="621">
        <v>4</v>
      </c>
      <c r="C16" s="621" t="s">
        <v>616</v>
      </c>
      <c r="D16" s="624">
        <v>0.22022</v>
      </c>
    </row>
    <row r="17" spans="2:4" ht="69" customHeight="1" thickBot="1">
      <c r="B17" s="621">
        <v>5</v>
      </c>
      <c r="C17" s="621" t="s">
        <v>617</v>
      </c>
      <c r="D17" s="624">
        <v>0.07623</v>
      </c>
    </row>
    <row r="18" ht="52.5" customHeight="1"/>
    <row r="19" spans="2:3" ht="24" customHeight="1">
      <c r="B19" s="611"/>
      <c r="C19" s="611"/>
    </row>
    <row r="20" spans="2:3" ht="24.75" customHeight="1">
      <c r="B20" s="611"/>
      <c r="C20" s="611"/>
    </row>
    <row r="21" spans="2:3" ht="27" customHeight="1">
      <c r="B21" s="611"/>
      <c r="C21" s="611"/>
    </row>
    <row r="22" ht="42" customHeight="1"/>
    <row r="23" spans="2:3" ht="17.25" customHeight="1" hidden="1">
      <c r="B23" s="611"/>
      <c r="C23" s="611"/>
    </row>
    <row r="24" spans="2:3" ht="17.25" customHeight="1" hidden="1">
      <c r="B24" s="611"/>
      <c r="C24" s="611"/>
    </row>
    <row r="25" spans="2:3" ht="17.25" customHeight="1" hidden="1">
      <c r="B25" s="611"/>
      <c r="C25" s="611"/>
    </row>
    <row r="26" spans="2:3" ht="16.5" hidden="1">
      <c r="B26" s="611"/>
      <c r="C26" s="611"/>
    </row>
    <row r="27" ht="43.5" customHeight="1">
      <c r="F27" s="586" t="s">
        <v>364</v>
      </c>
    </row>
    <row r="28" spans="2:3" ht="16.5">
      <c r="B28" s="611"/>
      <c r="C28" s="611"/>
    </row>
    <row r="29" spans="2:3" ht="16.5">
      <c r="B29" s="611"/>
      <c r="C29" s="611"/>
    </row>
    <row r="30" spans="2:3" ht="20.25" customHeight="1">
      <c r="B30" s="611"/>
      <c r="C30" s="611"/>
    </row>
    <row r="31" spans="2:3" ht="16.5">
      <c r="B31" s="619"/>
      <c r="C31" s="619"/>
    </row>
    <row r="32" spans="2:3" ht="16.5">
      <c r="B32" s="619"/>
      <c r="C32" s="619"/>
    </row>
    <row r="33" spans="2:3" ht="16.5">
      <c r="B33" s="619"/>
      <c r="C33" s="619"/>
    </row>
  </sheetData>
  <sheetProtection/>
  <mergeCells count="3">
    <mergeCell ref="B2:D2"/>
    <mergeCell ref="B4:C4"/>
    <mergeCell ref="B3:D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16"/>
  <sheetViews>
    <sheetView showGridLines="0" zoomScalePageLayoutView="0" workbookViewId="0" topLeftCell="A1">
      <selection activeCell="E30" sqref="E30"/>
    </sheetView>
  </sheetViews>
  <sheetFormatPr defaultColWidth="9.00390625" defaultRowHeight="15.75"/>
  <cols>
    <col min="1" max="1" width="1.00390625" style="450" customWidth="1"/>
    <col min="2" max="2" width="32.50390625" style="450" customWidth="1"/>
    <col min="3" max="3" width="20.625" style="450" customWidth="1"/>
    <col min="4" max="8" width="9.00390625" style="450" customWidth="1"/>
    <col min="9" max="9" width="0.875" style="267" customWidth="1"/>
    <col min="10" max="16384" width="9.00390625" style="450" customWidth="1"/>
  </cols>
  <sheetData>
    <row r="1" s="267" customFormat="1" ht="5.25"/>
    <row r="2" spans="2:9" s="479" customFormat="1" ht="15.75">
      <c r="B2" s="477" t="str">
        <f>"Фактические и плановые значения показателей надежности и качества услуг за "&amp;Содержание!I5&amp;" год"</f>
        <v>Фактические и плановые значения показателей надежности и качества услуг за 2017 год</v>
      </c>
      <c r="C2" s="477"/>
      <c r="D2" s="477"/>
      <c r="E2" s="477"/>
      <c r="F2" s="477"/>
      <c r="G2" s="477"/>
      <c r="H2" s="477"/>
      <c r="I2" s="478"/>
    </row>
    <row r="3" spans="2:9" s="479" customFormat="1" ht="15.75">
      <c r="B3" s="480"/>
      <c r="C3" s="480"/>
      <c r="D3" s="480"/>
      <c r="E3" s="480"/>
      <c r="F3" s="480"/>
      <c r="G3" s="480"/>
      <c r="H3" s="480"/>
      <c r="I3" s="481"/>
    </row>
    <row r="4" spans="2:9" s="479" customFormat="1" ht="15.75">
      <c r="B4" s="482"/>
      <c r="C4" s="483"/>
      <c r="D4" s="484" t="str">
        <f>Содержание!C5</f>
        <v>ООО "Томские электрические сети"</v>
      </c>
      <c r="E4" s="483"/>
      <c r="F4" s="483"/>
      <c r="G4" s="483"/>
      <c r="H4" s="483"/>
      <c r="I4" s="485"/>
    </row>
    <row r="5" spans="2:9" s="479" customFormat="1" ht="15.75">
      <c r="B5" s="486"/>
      <c r="C5" s="486"/>
      <c r="D5" s="486" t="s">
        <v>427</v>
      </c>
      <c r="E5" s="486"/>
      <c r="F5" s="486"/>
      <c r="G5" s="486"/>
      <c r="H5" s="486"/>
      <c r="I5" s="487"/>
    </row>
    <row r="6" spans="2:9" s="479" customFormat="1" ht="15.75">
      <c r="B6" s="480"/>
      <c r="C6" s="480"/>
      <c r="D6" s="480"/>
      <c r="E6" s="480"/>
      <c r="F6" s="480"/>
      <c r="G6" s="480"/>
      <c r="H6" s="480"/>
      <c r="I6" s="481"/>
    </row>
    <row r="7" spans="2:9" s="479" customFormat="1" ht="15.75">
      <c r="B7" s="480"/>
      <c r="C7" s="480"/>
      <c r="D7" s="480"/>
      <c r="E7" s="480"/>
      <c r="F7" s="480"/>
      <c r="G7" s="480"/>
      <c r="H7" s="480"/>
      <c r="I7" s="481"/>
    </row>
    <row r="8" spans="2:9" ht="39" customHeight="1">
      <c r="B8" s="555" t="s">
        <v>11</v>
      </c>
      <c r="C8" s="555" t="str">
        <f>"Фактические значения показателей за отчетный период "&amp;Содержание!I5&amp;" год"</f>
        <v>Фактические значения показателей за отчетный период 2017 год</v>
      </c>
      <c r="D8" s="557" t="s">
        <v>431</v>
      </c>
      <c r="E8" s="558"/>
      <c r="F8" s="558"/>
      <c r="G8" s="558"/>
      <c r="H8" s="559"/>
      <c r="I8" s="488"/>
    </row>
    <row r="9" spans="2:9" ht="39" customHeight="1">
      <c r="B9" s="556"/>
      <c r="C9" s="556"/>
      <c r="D9" s="489" t="str">
        <f>'Форма.1.3'!E7&amp;"  год"</f>
        <v>2019  год</v>
      </c>
      <c r="E9" s="489" t="str">
        <f>'Форма.1.3'!F7&amp;"  год"</f>
        <v>2020  год</v>
      </c>
      <c r="F9" s="489" t="str">
        <f>'Форма.1.3'!G7&amp;"  год"</f>
        <v>2021  год</v>
      </c>
      <c r="G9" s="489" t="str">
        <f>'Форма.1.3'!H7&amp;"  год"</f>
        <v>2022  год</v>
      </c>
      <c r="H9" s="489" t="str">
        <f>'Форма.1.3'!I7&amp;"  год"</f>
        <v>2023  год</v>
      </c>
      <c r="I9" s="488"/>
    </row>
    <row r="10" spans="2:9" ht="38.25">
      <c r="B10" s="490" t="s">
        <v>195</v>
      </c>
      <c r="C10" s="491">
        <v>0.0038</v>
      </c>
      <c r="D10" s="492">
        <f>'Форма.1.3'!E10</f>
        <v>0.1585052316890882</v>
      </c>
      <c r="E10" s="492">
        <f>'Форма.1.3'!F10</f>
        <v>0.1585052316890882</v>
      </c>
      <c r="F10" s="492">
        <f>'Форма.1.3'!G10</f>
        <v>0.1585052316890882</v>
      </c>
      <c r="G10" s="492">
        <f>'Форма.1.3'!H10</f>
        <v>0.1585052316890882</v>
      </c>
      <c r="H10" s="492">
        <f>'Форма.1.3'!I10</f>
        <v>0.1585052316890882</v>
      </c>
      <c r="I10" s="488"/>
    </row>
    <row r="11" spans="2:9" ht="38.25">
      <c r="B11" s="490" t="s">
        <v>432</v>
      </c>
      <c r="C11" s="491">
        <v>1</v>
      </c>
      <c r="D11" s="493">
        <f>'Форма.1.3'!E13</f>
        <v>1</v>
      </c>
      <c r="E11" s="493">
        <f>'Форма.1.3'!F13</f>
        <v>1</v>
      </c>
      <c r="F11" s="493">
        <f>'Форма.1.3'!G13</f>
        <v>1</v>
      </c>
      <c r="G11" s="493">
        <f>'Форма.1.3'!H13</f>
        <v>1</v>
      </c>
      <c r="H11" s="493">
        <f>'Форма.1.3'!I13</f>
        <v>0.8975</v>
      </c>
      <c r="I11" s="488"/>
    </row>
    <row r="12" spans="2:9" ht="25.5">
      <c r="B12" s="490" t="s">
        <v>433</v>
      </c>
      <c r="C12" s="491">
        <v>0.8975</v>
      </c>
      <c r="D12" s="493">
        <f>'Форма.1.3'!E17</f>
        <v>0.8975</v>
      </c>
      <c r="E12" s="494">
        <f>'Форма.1.3'!F17</f>
        <v>0.8975</v>
      </c>
      <c r="F12" s="494">
        <f>'Форма.1.3'!G17</f>
        <v>0.8975</v>
      </c>
      <c r="G12" s="494">
        <f>'Форма.1.3'!H17</f>
        <v>0.8975</v>
      </c>
      <c r="H12" s="494">
        <f>'Форма.1.3'!I17</f>
        <v>0.8975</v>
      </c>
      <c r="I12" s="488"/>
    </row>
    <row r="13" s="267" customFormat="1" ht="5.25"/>
    <row r="15" spans="2:4" ht="15.75">
      <c r="B15" s="450" t="str">
        <f>Содержание!C26&amp;"     "&amp;Содержание!F26</f>
        <v>Директор     ___________</v>
      </c>
      <c r="D15" s="474" t="str">
        <f>Содержание!G26</f>
        <v>Осипов Д.С.</v>
      </c>
    </row>
    <row r="16" spans="2:4" s="475" customFormat="1" ht="12.75">
      <c r="B16" s="476" t="str">
        <f>Содержание!C27</f>
        <v>(должность)</v>
      </c>
      <c r="D16" s="476" t="str">
        <f>Содержание!G27</f>
        <v>(Ф.И.О.)</v>
      </c>
    </row>
    <row r="17" s="267" customFormat="1" ht="5.25"/>
  </sheetData>
  <sheetProtection password="CA0A" sheet="1" objects="1" scenarios="1"/>
  <mergeCells count="3">
    <mergeCell ref="B8:B9"/>
    <mergeCell ref="C8:C9"/>
    <mergeCell ref="D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&amp;R&amp;8&amp;P</oddHeader>
    <oddFooter>&amp;L&amp;8&amp;Z    &amp;F   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T176"/>
  <sheetViews>
    <sheetView tabSelected="1" zoomScaleSheetLayoutView="100" zoomScalePageLayoutView="0" workbookViewId="0" topLeftCell="A1">
      <selection activeCell="M175" sqref="M175"/>
    </sheetView>
  </sheetViews>
  <sheetFormatPr defaultColWidth="9.00390625" defaultRowHeight="15.75" outlineLevelCol="1"/>
  <cols>
    <col min="1" max="1" width="0.875" style="266" customWidth="1"/>
    <col min="2" max="2" width="8.625" style="233" customWidth="1"/>
    <col min="3" max="3" width="7.50390625" style="233" customWidth="1"/>
    <col min="4" max="4" width="9.625" style="233" customWidth="1"/>
    <col min="5" max="5" width="9.00390625" style="233" customWidth="1"/>
    <col min="6" max="6" width="7.625" style="233" customWidth="1"/>
    <col min="7" max="10" width="9.00390625" style="233" customWidth="1"/>
    <col min="11" max="11" width="7.00390625" style="233" customWidth="1"/>
    <col min="12" max="12" width="1.25" style="266" customWidth="1"/>
    <col min="13" max="13" width="9.00390625" style="233" customWidth="1"/>
    <col min="14" max="14" width="1.75390625" style="233" hidden="1" customWidth="1" outlineLevel="1"/>
    <col min="15" max="15" width="9.00390625" style="233" customWidth="1" collapsed="1"/>
    <col min="16" max="16" width="3.25390625" style="233" hidden="1" customWidth="1" outlineLevel="1"/>
    <col min="17" max="17" width="9.00390625" style="233" customWidth="1" collapsed="1"/>
    <col min="18" max="16384" width="9.00390625" style="233" customWidth="1"/>
  </cols>
  <sheetData>
    <row r="1" spans="1:12" s="232" customFormat="1" ht="7.5">
      <c r="A1" s="266"/>
      <c r="L1" s="266"/>
    </row>
    <row r="2" spans="3:10" ht="16.5">
      <c r="C2" s="573" t="s">
        <v>247</v>
      </c>
      <c r="D2" s="573"/>
      <c r="E2" s="573"/>
      <c r="F2" s="573"/>
      <c r="G2" s="573"/>
      <c r="H2" s="573"/>
      <c r="I2" s="573"/>
      <c r="J2" s="573"/>
    </row>
    <row r="3" spans="2:14" ht="49.5">
      <c r="B3" s="570" t="str">
        <f>"  по расчету плановых показателей надежности и качества оказываемых услуг на      долгосрочный период регулирования тарифов по передаче электрической энергии 
на "&amp;'Форма.1.3'!E7&amp;"-"&amp;'Форма.1.3'!I7&amp;"гг."</f>
        <v>  по расчету плановых показателей надежности и качества оказываемых услуг на      долгосрочный период регулирования тарифов по передаче электрической энергии 
на 2019-2023гг.</v>
      </c>
      <c r="C3" s="575"/>
      <c r="D3" s="575"/>
      <c r="E3" s="575"/>
      <c r="F3" s="575"/>
      <c r="G3" s="575"/>
      <c r="H3" s="575"/>
      <c r="I3" s="575"/>
      <c r="J3" s="575"/>
      <c r="K3" s="575"/>
      <c r="N3" s="295" t="s">
        <v>365</v>
      </c>
    </row>
    <row r="4" s="266" customFormat="1" ht="5.25"/>
    <row r="5" spans="6:7" ht="15.75">
      <c r="F5" s="371" t="str">
        <f>Содержание!C5</f>
        <v>ООО "Томские электрические сети"</v>
      </c>
      <c r="G5" s="371"/>
    </row>
    <row r="6" s="266" customFormat="1" ht="5.25"/>
    <row r="7" spans="2:14" ht="66">
      <c r="B7" s="570" t="s">
        <v>248</v>
      </c>
      <c r="C7" s="574"/>
      <c r="D7" s="574"/>
      <c r="E7" s="574"/>
      <c r="F7" s="574"/>
      <c r="G7" s="574"/>
      <c r="H7" s="574"/>
      <c r="I7" s="574"/>
      <c r="J7" s="574"/>
      <c r="K7" s="574"/>
      <c r="N7" s="295" t="s">
        <v>366</v>
      </c>
    </row>
    <row r="8" s="266" customFormat="1" ht="5.25">
      <c r="N8" s="266" t="s">
        <v>364</v>
      </c>
    </row>
    <row r="9" spans="2:14" ht="49.5">
      <c r="B9" s="571" t="s">
        <v>249</v>
      </c>
      <c r="C9" s="571"/>
      <c r="D9" s="571"/>
      <c r="E9" s="571"/>
      <c r="F9" s="571"/>
      <c r="G9" s="571"/>
      <c r="H9" s="571"/>
      <c r="I9" s="571"/>
      <c r="J9" s="571"/>
      <c r="K9" s="571"/>
      <c r="N9" s="295" t="s">
        <v>365</v>
      </c>
    </row>
    <row r="10" s="266" customFormat="1" ht="5.25"/>
    <row r="11" spans="2:14" ht="49.5">
      <c r="B11" s="570" t="s">
        <v>250</v>
      </c>
      <c r="C11" s="570"/>
      <c r="D11" s="570"/>
      <c r="E11" s="570"/>
      <c r="F11" s="570"/>
      <c r="G11" s="570"/>
      <c r="H11" s="570"/>
      <c r="I11" s="570"/>
      <c r="J11" s="570"/>
      <c r="K11" s="570"/>
      <c r="N11" s="295" t="s">
        <v>365</v>
      </c>
    </row>
    <row r="12" s="266" customFormat="1" ht="5.25"/>
    <row r="13" spans="1:19" ht="20.25">
      <c r="A13" s="267"/>
      <c r="E13" s="236" t="s">
        <v>237</v>
      </c>
      <c r="L13" s="267"/>
      <c r="M13" s="234"/>
      <c r="N13" s="234"/>
      <c r="O13" s="234"/>
      <c r="P13" s="234"/>
      <c r="Q13" s="234"/>
      <c r="R13" s="234"/>
      <c r="S13" s="234"/>
    </row>
    <row r="14" s="266" customFormat="1" ht="5.25"/>
    <row r="15" spans="2:11" ht="16.5">
      <c r="B15" s="570" t="s">
        <v>251</v>
      </c>
      <c r="C15" s="570"/>
      <c r="D15" s="570"/>
      <c r="E15" s="570"/>
      <c r="F15" s="570"/>
      <c r="G15" s="570"/>
      <c r="H15" s="570"/>
      <c r="I15" s="570"/>
      <c r="J15" s="570"/>
      <c r="K15" s="570"/>
    </row>
    <row r="16" s="266" customFormat="1" ht="5.25"/>
    <row r="17" spans="2:11" ht="16.5">
      <c r="B17" s="570" t="s">
        <v>252</v>
      </c>
      <c r="C17" s="570"/>
      <c r="D17" s="570"/>
      <c r="E17" s="570"/>
      <c r="F17" s="570"/>
      <c r="G17" s="570"/>
      <c r="H17" s="570"/>
      <c r="I17" s="570"/>
      <c r="J17" s="570"/>
      <c r="K17" s="570"/>
    </row>
    <row r="18" s="266" customFormat="1" ht="5.25"/>
    <row r="19" spans="1:19" s="238" customFormat="1" ht="15">
      <c r="A19" s="267"/>
      <c r="B19" s="270" t="s">
        <v>197</v>
      </c>
      <c r="E19" s="269"/>
      <c r="L19" s="267"/>
      <c r="M19" s="237"/>
      <c r="N19" s="237"/>
      <c r="O19" s="237"/>
      <c r="P19" s="237"/>
      <c r="Q19" s="237"/>
      <c r="R19" s="237"/>
      <c r="S19" s="237"/>
    </row>
    <row r="20" s="266" customFormat="1" ht="5.25"/>
    <row r="21" spans="1:19" s="232" customFormat="1" ht="16.5">
      <c r="A21" s="267"/>
      <c r="B21" s="271" t="str">
        <f>"Фактичесие значения ПП за "&amp;Содержание!I5&amp;" г.- определяются : "</f>
        <v>Фактичесие значения ПП за 2017 г.- определяются : </v>
      </c>
      <c r="D21" s="239"/>
      <c r="L21" s="267"/>
      <c r="M21" s="235"/>
      <c r="N21" s="235"/>
      <c r="O21" s="235"/>
      <c r="P21" s="235"/>
      <c r="Q21" s="235"/>
      <c r="R21" s="235"/>
      <c r="S21" s="235"/>
    </row>
    <row r="22" s="266" customFormat="1" ht="5.25"/>
    <row r="23" spans="1:19" ht="20.25">
      <c r="A23" s="267"/>
      <c r="B23" s="240" t="s">
        <v>238</v>
      </c>
      <c r="C23" s="241">
        <f>SUM('Форма.1.1'!D70:D81)/MAX('Форма.1.1'!E70:E81)</f>
        <v>0.1585052316890882</v>
      </c>
      <c r="D23" s="242" t="str">
        <f>"= СУММА ("&amp;'Форма.1.1'!D6&amp;"+"&amp;'Форма.1.1'!D7&amp;"+"&amp;'Форма.1.1'!D8&amp;"+"&amp;'Форма.1.1'!D9&amp;"+"&amp;'Форма.1.1'!D10&amp;"+"&amp;'Форма.1.1'!D11&amp;"+"&amp;'Форма.1.1'!D12&amp;"+"&amp;'Форма.1.1'!D13&amp;"+"&amp;'Форма.1.1'!D14&amp;"+"&amp;'Форма.1.1'!D15&amp;"+"&amp;'Форма.1.1'!D16&amp;"+"&amp;'Форма.1.1'!D17&amp;") / "</f>
        <v>= СУММА (0+++++++1,55++0,97+0+) / </v>
      </c>
      <c r="L23" s="267"/>
      <c r="M23" s="234"/>
      <c r="N23" s="234"/>
      <c r="O23" s="234"/>
      <c r="P23" s="234"/>
      <c r="Q23" s="234"/>
      <c r="R23" s="234"/>
      <c r="S23" s="234"/>
    </row>
    <row r="24" spans="1:19" ht="18.75">
      <c r="A24" s="267"/>
      <c r="B24" s="240"/>
      <c r="C24" s="243" t="str">
        <f>"/ МАКС ("&amp;'Форма.1.1'!E6&amp;"+"&amp;'Форма.1.1'!E7&amp;"+"&amp;'Форма.1.1'!E8&amp;"+"&amp;'Форма.1.1'!E9&amp;"+"&amp;'Форма.1.1'!E10&amp;"+"&amp;'Форма.1.1'!E11&amp;"+"&amp;'Форма.1.1'!E12&amp;"+"&amp;'Форма.1.1'!E13&amp;"+"&amp;'Форма.1.1'!E14&amp;"+"&amp;'Форма.1.1'!E15&amp;"+"&amp;'Форма.1.1'!E16&amp;"+"&amp;'Форма.1.1'!E17&amp;")"</f>
        <v>/ МАКС (500+523+575+624+627+637+591+607+513+611+666+669)</v>
      </c>
      <c r="D24" s="242"/>
      <c r="L24" s="267"/>
      <c r="M24" s="234"/>
      <c r="N24" s="234"/>
      <c r="O24" s="234"/>
      <c r="P24" s="234"/>
      <c r="Q24" s="234"/>
      <c r="R24" s="234"/>
      <c r="S24" s="234"/>
    </row>
    <row r="25" s="266" customFormat="1" ht="5.25"/>
    <row r="26" spans="2:11" ht="16.5">
      <c r="B26" s="571" t="s">
        <v>253</v>
      </c>
      <c r="C26" s="571"/>
      <c r="D26" s="571"/>
      <c r="E26" s="571"/>
      <c r="F26" s="571"/>
      <c r="G26" s="571"/>
      <c r="H26" s="571"/>
      <c r="I26" s="571"/>
      <c r="J26" s="571"/>
      <c r="K26" s="571"/>
    </row>
    <row r="27" s="266" customFormat="1" ht="5.25"/>
    <row r="28" spans="2:11" ht="16.5">
      <c r="B28" s="570" t="s">
        <v>254</v>
      </c>
      <c r="C28" s="570"/>
      <c r="D28" s="570"/>
      <c r="E28" s="570"/>
      <c r="F28" s="570"/>
      <c r="G28" s="570"/>
      <c r="H28" s="570"/>
      <c r="I28" s="570"/>
      <c r="J28" s="570"/>
      <c r="K28" s="570"/>
    </row>
    <row r="29" s="266" customFormat="1" ht="5.25"/>
    <row r="30" ht="20.25">
      <c r="D30" s="236" t="s">
        <v>239</v>
      </c>
    </row>
    <row r="31" s="266" customFormat="1" ht="5.25"/>
    <row r="32" spans="2:11" ht="16.5">
      <c r="B32" s="570" t="s">
        <v>255</v>
      </c>
      <c r="C32" s="570"/>
      <c r="D32" s="570"/>
      <c r="E32" s="570"/>
      <c r="F32" s="570"/>
      <c r="G32" s="570"/>
      <c r="H32" s="570"/>
      <c r="I32" s="570"/>
      <c r="J32" s="570"/>
      <c r="K32" s="570"/>
    </row>
    <row r="33" s="266" customFormat="1" ht="5.25"/>
    <row r="34" spans="2:11" ht="16.5">
      <c r="B34" s="570" t="s">
        <v>256</v>
      </c>
      <c r="C34" s="570"/>
      <c r="D34" s="570"/>
      <c r="E34" s="570"/>
      <c r="F34" s="570"/>
      <c r="G34" s="570"/>
      <c r="H34" s="570"/>
      <c r="I34" s="570"/>
      <c r="J34" s="570"/>
      <c r="K34" s="570"/>
    </row>
    <row r="35" s="266" customFormat="1" ht="5.25"/>
    <row r="36" spans="2:11" ht="16.5">
      <c r="B36" s="570" t="s">
        <v>257</v>
      </c>
      <c r="C36" s="570"/>
      <c r="D36" s="570"/>
      <c r="E36" s="570"/>
      <c r="F36" s="570"/>
      <c r="G36" s="570"/>
      <c r="H36" s="570"/>
      <c r="I36" s="570"/>
      <c r="J36" s="570"/>
      <c r="K36" s="570"/>
    </row>
    <row r="37" s="266" customFormat="1" ht="5.25"/>
    <row r="38" spans="1:19" ht="19.5">
      <c r="A38" s="267"/>
      <c r="C38" s="372" t="s">
        <v>394</v>
      </c>
      <c r="J38" s="376" t="s">
        <v>392</v>
      </c>
      <c r="L38" s="267"/>
      <c r="M38" s="234"/>
      <c r="N38" s="244"/>
      <c r="O38" s="234"/>
      <c r="P38" s="234"/>
      <c r="Q38" s="234"/>
      <c r="R38" s="234"/>
      <c r="S38" s="234"/>
    </row>
    <row r="39" spans="1:20" ht="18.75">
      <c r="A39" s="267"/>
      <c r="C39" s="233" t="s">
        <v>387</v>
      </c>
      <c r="D39" s="250">
        <f>0.4*'Форма.3.1'!D10+0.4*'Форма.3.2'!D10+0.2*'Форма.3.3'!D10</f>
        <v>1</v>
      </c>
      <c r="E39" s="233" t="str">
        <f>"= 0,4 * "&amp;ROUND('Форма.3.1'!D10,3)&amp;" + 0,4 * "&amp;ROUND('Форма.3.2'!D10,3)&amp;" + 0,2 * "&amp;ROUND('Форма.3.3'!D10,3)</f>
        <v>= 0,4 * 1 + 0,4 * 1 + 0,2 * 1</v>
      </c>
      <c r="L39" s="233"/>
      <c r="M39" s="267"/>
      <c r="N39" s="234"/>
      <c r="O39" s="234"/>
      <c r="P39" s="234"/>
      <c r="Q39" s="234"/>
      <c r="R39" s="234"/>
      <c r="S39" s="234"/>
      <c r="T39" s="234"/>
    </row>
    <row r="40" s="266" customFormat="1" ht="5.25"/>
    <row r="41" spans="2:3" ht="16.5">
      <c r="B41" s="271" t="s">
        <v>388</v>
      </c>
      <c r="C41" s="377"/>
    </row>
    <row r="42" ht="18.75">
      <c r="C42" s="233" t="s">
        <v>389</v>
      </c>
    </row>
    <row r="43" spans="4:10" ht="21">
      <c r="D43" s="373" t="s">
        <v>393</v>
      </c>
      <c r="J43" s="376" t="s">
        <v>391</v>
      </c>
    </row>
    <row r="44" spans="3:5" ht="19.5">
      <c r="C44" s="374" t="s">
        <v>390</v>
      </c>
      <c r="D44" s="375">
        <f>'Форма.3.1'!D10</f>
        <v>1</v>
      </c>
      <c r="E44" s="233" t="str">
        <f>" = "&amp;'Форма.3.1'!D8&amp;" / МАКС ( 1 ; ( "&amp;'Форма.3.1'!D8&amp;" - "&amp;'Форма.3.1'!D9&amp;" ) )"</f>
        <v> = 51 / МАКС ( 1 ; ( 51 - 0 ) )</v>
      </c>
    </row>
    <row r="45" s="266" customFormat="1" ht="5.25"/>
    <row r="46" spans="2:3" ht="16.5">
      <c r="B46" s="271" t="s">
        <v>395</v>
      </c>
      <c r="C46" s="377"/>
    </row>
    <row r="47" ht="18.75">
      <c r="C47" s="233" t="s">
        <v>396</v>
      </c>
    </row>
    <row r="48" spans="4:10" ht="21">
      <c r="D48" s="373" t="s">
        <v>398</v>
      </c>
      <c r="J48" s="376" t="s">
        <v>397</v>
      </c>
    </row>
    <row r="49" spans="3:5" ht="19.5">
      <c r="C49" s="374" t="s">
        <v>399</v>
      </c>
      <c r="D49" s="375">
        <f>'Форма.3.2'!D10</f>
        <v>1</v>
      </c>
      <c r="E49" s="233" t="str">
        <f>" = "&amp;'Форма.3.2'!D8&amp;" / МАКС ( 1 ; ( "&amp;'Форма.3.2'!D8&amp;" - "&amp;'Форма.3.2'!D9&amp;" ) )"</f>
        <v> = 19 / МАКС ( 1 ; ( 19 - 0 ) )</v>
      </c>
    </row>
    <row r="50" s="266" customFormat="1" ht="5.25"/>
    <row r="51" spans="2:3" ht="16.5">
      <c r="B51" s="271" t="s">
        <v>403</v>
      </c>
      <c r="C51" s="377"/>
    </row>
    <row r="52" ht="19.5">
      <c r="B52" s="271" t="s">
        <v>404</v>
      </c>
    </row>
    <row r="53" spans="4:10" ht="19.5">
      <c r="D53" s="373" t="s">
        <v>401</v>
      </c>
      <c r="J53" s="376" t="s">
        <v>392</v>
      </c>
    </row>
    <row r="54" spans="3:15" ht="19.5">
      <c r="C54" s="374" t="s">
        <v>400</v>
      </c>
      <c r="D54" s="375">
        <f>'Форма.3.3'!D10</f>
        <v>1</v>
      </c>
      <c r="E54" s="233" t="str">
        <f>" = "&amp;'Форма.3.3'!D8&amp;" / МАКС ( 1 ; ( "&amp;'Форма.3.3'!D8&amp;" - "&amp;'Форма.3.3'!D9&amp;" ) )"</f>
        <v> = 51 / МАКС ( 1 ; ( 51 - 0 ) )</v>
      </c>
      <c r="O54" s="373"/>
    </row>
    <row r="55" s="266" customFormat="1" ht="5.25"/>
    <row r="56" spans="2:3" ht="19.5">
      <c r="B56" s="271" t="s">
        <v>406</v>
      </c>
      <c r="C56" s="377"/>
    </row>
    <row r="57" ht="15.75">
      <c r="C57" s="233" t="s">
        <v>405</v>
      </c>
    </row>
    <row r="58" ht="19.5">
      <c r="D58" s="373" t="s">
        <v>407</v>
      </c>
    </row>
    <row r="59" s="266" customFormat="1" ht="5.25"/>
    <row r="60" spans="1:13" s="247" customFormat="1" ht="20.25">
      <c r="A60" s="266"/>
      <c r="B60" s="232"/>
      <c r="C60" s="378" t="s">
        <v>408</v>
      </c>
      <c r="D60" s="379">
        <f>0.1*'Форма.2.1'!P27+0.7*'Форма.2.2'!P22+0.2*'Форма.2.3'!P28</f>
        <v>0.8975</v>
      </c>
      <c r="E60" s="247" t="str">
        <f>" = 0,1 х "&amp;ROUND('Форма.2.1'!P27,4)&amp;" + 0,7 х "&amp;ROUND('Форма.2.2'!P22,4)&amp;" + 0,2 х "&amp;ROUND('Форма.2.3'!P28,4)&amp;""</f>
        <v> = 0,1 х 2 + 0,7 х 0,425 + 0,2 х 2</v>
      </c>
      <c r="M60" s="266"/>
    </row>
    <row r="61" s="266" customFormat="1" ht="5.25"/>
    <row r="62" spans="2:3" ht="16.5">
      <c r="B62" s="271" t="s">
        <v>409</v>
      </c>
      <c r="C62" s="377"/>
    </row>
    <row r="63" ht="15.75">
      <c r="C63" s="233" t="s">
        <v>410</v>
      </c>
    </row>
    <row r="64" ht="15.75">
      <c r="B64" s="380" t="str">
        <f>"        = ЕСЛИ ( И (Ф = 0 ; П = 0 ) ; 100 ; ( ЕСЛИ ( И (Ф = 0 ; П &gt; 0 ) ; 120 ; Ф / П * 100 ) ) )"</f>
        <v>        = ЕСЛИ ( И (Ф = 0 ; П = 0 ) ; 100 ; ( ЕСЛИ ( И (Ф = 0 ; П &gt; 0 ) ; 120 ; Ф / П * 100 ) ) )</v>
      </c>
    </row>
    <row r="65" s="266" customFormat="1" ht="5.25"/>
    <row r="66" spans="2:3" ht="18.75">
      <c r="B66" s="381" t="s">
        <v>240</v>
      </c>
      <c r="C66" s="236"/>
    </row>
    <row r="67" spans="1:12" s="232" customFormat="1" ht="15">
      <c r="A67" s="266"/>
      <c r="B67" s="238"/>
      <c r="L67" s="266"/>
    </row>
    <row r="68" ht="15.75"/>
    <row r="69" spans="4:7" ht="16.5">
      <c r="D69" s="246"/>
      <c r="F69" s="245"/>
      <c r="G69" s="245"/>
    </row>
    <row r="70" ht="15.75">
      <c r="B70" s="247"/>
    </row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6.5">
      <c r="B91" s="248" t="str">
        <f>"Расчет показателя надежности "&amp;Содержание!$C$5&amp;" за 3 предыдуших года :"</f>
        <v>Расчет показателя надежности ООО "Томские электрические сети" за 3 предыдуших года :</v>
      </c>
    </row>
    <row r="92" spans="2:13" ht="16.5">
      <c r="B92" s="248" t="s">
        <v>451</v>
      </c>
      <c r="M92" s="248"/>
    </row>
    <row r="93" spans="1:12" s="232" customFormat="1" ht="7.5">
      <c r="A93" s="266"/>
      <c r="L93" s="266"/>
    </row>
    <row r="94" spans="1:12" s="247" customFormat="1" ht="23.25">
      <c r="A94" s="266"/>
      <c r="B94" s="378" t="s">
        <v>414</v>
      </c>
      <c r="C94" s="379">
        <f>'Форма.1.2'!Q9</f>
        <v>0.1585052316890882</v>
      </c>
      <c r="D94" s="450" t="str">
        <f>"= ( "&amp;ROUND('Форма.1.2'!$N$9,3)&amp;") / 1"</f>
        <v>= ( 0,159) / 1</v>
      </c>
      <c r="L94" s="266"/>
    </row>
    <row r="95" s="266" customFormat="1" ht="5.25"/>
    <row r="96" spans="2:3" ht="16.5">
      <c r="B96" s="382" t="s">
        <v>411</v>
      </c>
      <c r="C96" s="377"/>
    </row>
    <row r="97" ht="15.75">
      <c r="B97" s="383" t="s">
        <v>412</v>
      </c>
    </row>
    <row r="98" ht="15.75">
      <c r="C98" s="233" t="s">
        <v>413</v>
      </c>
    </row>
    <row r="99" s="266" customFormat="1" ht="5.25"/>
    <row r="100" spans="1:12" s="247" customFormat="1" ht="23.25">
      <c r="A100" s="266"/>
      <c r="D100" s="252" t="s">
        <v>415</v>
      </c>
      <c r="H100" s="247" t="str">
        <f>"- для последующих годов"</f>
        <v>- для последующих годов</v>
      </c>
      <c r="L100" s="266"/>
    </row>
    <row r="101" s="266" customFormat="1" ht="5.25"/>
    <row r="102" ht="15.75">
      <c r="B102" s="384" t="str">
        <f>"Плановый показатель надежности "&amp;Содержание!C5&amp;" на "&amp;Содержание!I5+2&amp;" год принимается равным"</f>
        <v>Плановый показатель надежности ООО "Томские электрические сети" на 2019 год принимается равным</v>
      </c>
    </row>
    <row r="103" ht="15.75">
      <c r="B103" s="383" t="str">
        <f>"средне фактическому значению с учетом динамики улучшения фактических значений,"</f>
        <v>средне фактическому значению с учетом динамики улучшения фактических значений,</v>
      </c>
    </row>
    <row r="104" ht="15.75">
      <c r="B104" s="383" t="str">
        <f>" а плановое значение на "&amp;Содержание!I5+3&amp;" определяется  :"</f>
        <v> а плановое значение на 2020 определяется  :</v>
      </c>
    </row>
    <row r="105" spans="1:13" s="247" customFormat="1" ht="23.25">
      <c r="A105" s="266"/>
      <c r="C105" s="378" t="s">
        <v>416</v>
      </c>
      <c r="D105" s="393">
        <f>'Форма.1.3'!E10*(0.985)</f>
        <v>0.15612765321375188</v>
      </c>
      <c r="E105" s="247" t="str">
        <f>"= "&amp;ROUND('Форма.1.3'!E10,4)&amp;" х (1 - 0,015)"</f>
        <v>= 0,1585 х (1 - 0,015)</v>
      </c>
      <c r="M105" s="266"/>
    </row>
    <row r="106" s="266" customFormat="1" ht="5.2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>
      <c r="B123" s="249"/>
    </row>
    <row r="124" spans="1:12" s="247" customFormat="1" ht="23.25">
      <c r="A124" s="266"/>
      <c r="F124" s="385" t="s">
        <v>417</v>
      </c>
      <c r="G124" s="385"/>
      <c r="L124" s="266"/>
    </row>
    <row r="125" spans="1:12" s="247" customFormat="1" ht="15.75">
      <c r="A125" s="266"/>
      <c r="F125" s="386"/>
      <c r="G125" s="386"/>
      <c r="L125" s="266"/>
    </row>
    <row r="126" spans="1:12" s="247" customFormat="1" ht="23.25">
      <c r="A126" s="266"/>
      <c r="F126" s="385" t="s">
        <v>418</v>
      </c>
      <c r="G126" s="385"/>
      <c r="L126" s="266"/>
    </row>
    <row r="128" ht="15.75"/>
    <row r="129" ht="15.75"/>
    <row r="130" ht="15.75"/>
    <row r="131" ht="15.75"/>
    <row r="132" ht="15.75"/>
    <row r="133" ht="15.75"/>
    <row r="134" ht="15.75"/>
    <row r="135" spans="1:12" s="247" customFormat="1" ht="23.25">
      <c r="A135" s="266"/>
      <c r="F135" s="385" t="s">
        <v>419</v>
      </c>
      <c r="G135" s="385"/>
      <c r="L135" s="266"/>
    </row>
    <row r="136" spans="1:12" s="247" customFormat="1" ht="15.75">
      <c r="A136" s="266"/>
      <c r="F136" s="386"/>
      <c r="G136" s="386"/>
      <c r="L136" s="266"/>
    </row>
    <row r="137" spans="1:12" s="247" customFormat="1" ht="23.25">
      <c r="A137" s="266"/>
      <c r="F137" s="385" t="s">
        <v>420</v>
      </c>
      <c r="G137" s="385"/>
      <c r="L137" s="266"/>
    </row>
    <row r="139" ht="15.75">
      <c r="B139" s="238" t="str">
        <f>"Плановый показатель надежности "&amp;Содержание!C5&amp;" на "&amp;Содержание!I5+1&amp;" год"</f>
        <v>Плановый показатель надежности ООО "Томские электрические сети" на 2018 год</v>
      </c>
    </row>
    <row r="140" spans="2:5" ht="23.25">
      <c r="B140" s="240" t="s">
        <v>241</v>
      </c>
      <c r="C140" s="394">
        <f>ROUND('Форма.1.3'!E10,4)</f>
        <v>0.1585</v>
      </c>
      <c r="D140" s="251" t="s">
        <v>242</v>
      </c>
      <c r="E140" s="252" t="str">
        <f>C140&amp;" ≤ "&amp;ROUND(C140*(1+0.35),4)&amp;" = "&amp;C140&amp;" х (1 + 0,35)"</f>
        <v>0,1585 ≤ 0,214 = 0,1585 х (1 + 0,35)</v>
      </c>
    </row>
    <row r="141" ht="18.75">
      <c r="E141" s="252" t="str">
        <f>C140&amp;" ≥ "&amp;ROUND(C140*(1-0.35),4)&amp;" = "&amp;C140&amp;" х (1 - 0,35)"</f>
        <v>0,1585 ≥ 0,103 = 0,1585 х (1 - 0,35)</v>
      </c>
    </row>
    <row r="142" ht="15.75">
      <c r="D142" s="245" t="str">
        <f>"- плановый показатель   считается достигнутым"</f>
        <v>- плановый показатель   считается достигнутым</v>
      </c>
    </row>
    <row r="143" ht="15.75"/>
    <row r="144" ht="15.75"/>
    <row r="145" ht="15.75"/>
    <row r="146" ht="15.75"/>
    <row r="147" ht="15.75"/>
    <row r="148" ht="15.75"/>
    <row r="149" ht="15.75"/>
    <row r="150" ht="15.75"/>
    <row r="151" spans="1:12" s="247" customFormat="1" ht="20.25">
      <c r="A151" s="266"/>
      <c r="F151" s="385" t="s">
        <v>421</v>
      </c>
      <c r="G151" s="385"/>
      <c r="L151" s="266"/>
    </row>
    <row r="152" ht="15.75"/>
    <row r="153" ht="15.75">
      <c r="C153" s="253"/>
    </row>
    <row r="154" ht="15.75"/>
    <row r="155" ht="15.75"/>
    <row r="156" ht="15.75"/>
    <row r="157" ht="15.75"/>
    <row r="158" ht="15.75"/>
    <row r="159" ht="15.75"/>
    <row r="160" ht="15.75"/>
    <row r="161" ht="15.75">
      <c r="B161" s="238" t="s">
        <v>243</v>
      </c>
    </row>
    <row r="162" ht="15.75">
      <c r="B162" s="238" t="s">
        <v>244</v>
      </c>
    </row>
    <row r="163" spans="1:13" s="247" customFormat="1" ht="20.25">
      <c r="A163" s="266"/>
      <c r="C163" s="378" t="s">
        <v>423</v>
      </c>
      <c r="D163" s="379">
        <f>'Форма.4.2'!D10*0.65+'Форма.4.2'!D12*0.25+'Форма.4.2'!D13*0.1</f>
        <v>0</v>
      </c>
      <c r="E163" s="247" t="str">
        <f>" = 0,65 * "&amp;ROUND('Форма.4.2'!D10,3)&amp;" + 0,25 * "&amp;ROUND('Форма.4.2'!D12,3)&amp;" + 0,1 * "&amp;ROUND('Форма.4.2'!D13,3)</f>
        <v> = 0,65 * 0 + 0,25 * 0 + 0,1 * 0</v>
      </c>
      <c r="M163" s="266"/>
    </row>
    <row r="164" spans="3:16" ht="78.75">
      <c r="C164" s="572" t="str">
        <f>"Предложения организации по плановым значениям показателей надежности и качества услуг на каждый расчетный период регулирования первого долгосрочного периода регулирования "&amp;'Форма.1.3'!E7&amp;"-"&amp;'Форма.1.3'!I7&amp;"гг. представлены в таблице по форме 1.3 Методических указаний"</f>
        <v>Предложения организации по плановым значениям показателей надежности и качества услуг на каждый расчетный период регулирования первого долгосрочного периода регулирования 2019-2023гг. представлены в таблице по форме 1.3 Методических указаний</v>
      </c>
      <c r="D164" s="572"/>
      <c r="E164" s="572"/>
      <c r="F164" s="572"/>
      <c r="G164" s="572"/>
      <c r="H164" s="572"/>
      <c r="I164" s="572"/>
      <c r="J164" s="572"/>
      <c r="P164" s="388" t="s">
        <v>422</v>
      </c>
    </row>
    <row r="165" s="266" customFormat="1" ht="5.25"/>
    <row r="166" spans="1:13" s="388" customFormat="1" ht="63" customHeight="1">
      <c r="A166" s="387"/>
      <c r="B166" s="369" t="s">
        <v>245</v>
      </c>
      <c r="C166" s="560" t="s">
        <v>11</v>
      </c>
      <c r="D166" s="561"/>
      <c r="E166" s="561"/>
      <c r="F166" s="562"/>
      <c r="G166" s="369">
        <f>'Форма.1.3'!E7</f>
        <v>2019</v>
      </c>
      <c r="H166" s="369">
        <f>'Форма.1.3'!F7</f>
        <v>2020</v>
      </c>
      <c r="I166" s="369">
        <f>'Форма.1.3'!G7</f>
        <v>2021</v>
      </c>
      <c r="J166" s="626">
        <f>'Форма.1.3'!H7</f>
        <v>2022</v>
      </c>
      <c r="K166" s="626">
        <f>'Форма.1.3'!I7</f>
        <v>2023</v>
      </c>
      <c r="M166" s="387"/>
    </row>
    <row r="167" spans="1:16" s="388" customFormat="1" ht="78.75">
      <c r="A167" s="387"/>
      <c r="B167" s="369" t="s">
        <v>177</v>
      </c>
      <c r="C167" s="563" t="s">
        <v>195</v>
      </c>
      <c r="D167" s="564"/>
      <c r="E167" s="564"/>
      <c r="F167" s="565"/>
      <c r="G167" s="389">
        <f>'Форма.1.3'!E10</f>
        <v>0.1585052316890882</v>
      </c>
      <c r="H167" s="389">
        <f>'Форма.1.3'!F10</f>
        <v>0.1585052316890882</v>
      </c>
      <c r="I167" s="389">
        <f>'Форма.1.3'!G10</f>
        <v>0.1585052316890882</v>
      </c>
      <c r="J167" s="627">
        <f>'Форма.1.3'!H10</f>
        <v>0.1585052316890882</v>
      </c>
      <c r="K167" s="627">
        <f>'Форма.1.3'!I10</f>
        <v>0.1585052316890882</v>
      </c>
      <c r="M167" s="387"/>
      <c r="P167" s="388" t="s">
        <v>422</v>
      </c>
    </row>
    <row r="168" spans="1:16" s="388" customFormat="1" ht="78.75">
      <c r="A168" s="387"/>
      <c r="B168" s="369" t="s">
        <v>174</v>
      </c>
      <c r="C168" s="566" t="s">
        <v>425</v>
      </c>
      <c r="D168" s="567"/>
      <c r="E168" s="567"/>
      <c r="F168" s="568"/>
      <c r="G168" s="389">
        <f>'Форма.1.3'!E13</f>
        <v>1</v>
      </c>
      <c r="H168" s="389">
        <f>'Форма.1.3'!F13</f>
        <v>1</v>
      </c>
      <c r="I168" s="389">
        <f>'Форма.1.3'!G13</f>
        <v>1</v>
      </c>
      <c r="J168" s="627">
        <f>'Форма.1.3'!H13</f>
        <v>1</v>
      </c>
      <c r="K168" s="627">
        <f>'Форма.1.3'!I13</f>
        <v>0.8975</v>
      </c>
      <c r="M168" s="387"/>
      <c r="P168" s="388" t="s">
        <v>422</v>
      </c>
    </row>
    <row r="169" spans="1:16" s="388" customFormat="1" ht="78.75">
      <c r="A169" s="387"/>
      <c r="B169" s="369">
        <v>3</v>
      </c>
      <c r="C169" s="563" t="s">
        <v>196</v>
      </c>
      <c r="D169" s="564"/>
      <c r="E169" s="564"/>
      <c r="F169" s="565"/>
      <c r="G169" s="369">
        <f>'Форма.1.3'!E17</f>
        <v>0.8975</v>
      </c>
      <c r="H169" s="389">
        <f>'Форма.1.3'!F17</f>
        <v>0.8975</v>
      </c>
      <c r="I169" s="389">
        <f>'Форма.1.3'!G17</f>
        <v>0.8975</v>
      </c>
      <c r="J169" s="627">
        <f>'Форма.1.3'!H17</f>
        <v>0.8975</v>
      </c>
      <c r="K169" s="626">
        <f>'Форма.1.3'!I17</f>
        <v>0.8975</v>
      </c>
      <c r="M169" s="387"/>
      <c r="P169" s="388" t="s">
        <v>422</v>
      </c>
    </row>
    <row r="170" spans="1:12" s="388" customFormat="1" ht="15.75">
      <c r="A170" s="387"/>
      <c r="B170" s="256"/>
      <c r="C170" s="256"/>
      <c r="D170" s="256"/>
      <c r="E170" s="256"/>
      <c r="F170" s="256"/>
      <c r="G170" s="256"/>
      <c r="H170" s="256"/>
      <c r="I170" s="256"/>
      <c r="J170" s="256"/>
      <c r="L170" s="387"/>
    </row>
    <row r="171" spans="1:12" s="255" customFormat="1" ht="15.75">
      <c r="A171" s="268"/>
      <c r="B171" s="569" t="s">
        <v>246</v>
      </c>
      <c r="C171" s="569"/>
      <c r="D171" s="569"/>
      <c r="E171" s="569"/>
      <c r="F171" s="569"/>
      <c r="G171" s="569"/>
      <c r="H171" s="569"/>
      <c r="I171" s="569"/>
      <c r="J171" s="569"/>
      <c r="L171" s="268"/>
    </row>
    <row r="173" spans="1:7" s="27" customFormat="1" ht="5.25">
      <c r="A173" s="28"/>
      <c r="B173" s="28"/>
      <c r="C173" s="28"/>
      <c r="D173" s="28"/>
      <c r="E173" s="28"/>
      <c r="F173" s="319"/>
      <c r="G173" s="329"/>
    </row>
    <row r="174" spans="1:10" s="31" customFormat="1" ht="30.75" customHeight="1">
      <c r="A174" s="28"/>
      <c r="B174" s="507" t="str">
        <f>Содержание!$C$26</f>
        <v>Директор</v>
      </c>
      <c r="C174" s="507"/>
      <c r="D174" s="507"/>
      <c r="E174" s="507"/>
      <c r="F174" s="320"/>
      <c r="G174" s="391" t="s">
        <v>88</v>
      </c>
      <c r="H174" s="8"/>
      <c r="J174" s="8" t="str">
        <f>Содержание!$G$26</f>
        <v>Осипов Д.С.</v>
      </c>
    </row>
    <row r="175" spans="1:10" s="31" customFormat="1" ht="15.75">
      <c r="A175" s="28"/>
      <c r="B175" s="313"/>
      <c r="C175" s="391" t="s">
        <v>8</v>
      </c>
      <c r="D175" s="33"/>
      <c r="E175" s="28"/>
      <c r="F175" s="320"/>
      <c r="G175" s="30" t="s">
        <v>9</v>
      </c>
      <c r="H175" s="33"/>
      <c r="J175" s="33" t="s">
        <v>20</v>
      </c>
    </row>
    <row r="176" spans="6:7" s="27" customFormat="1" ht="5.25">
      <c r="F176" s="319"/>
      <c r="G176" s="329"/>
    </row>
  </sheetData>
  <sheetProtection formatCells="0" formatColumns="0" formatRows="0"/>
  <mergeCells count="19">
    <mergeCell ref="C2:J2"/>
    <mergeCell ref="B7:K7"/>
    <mergeCell ref="B3:K3"/>
    <mergeCell ref="B9:K9"/>
    <mergeCell ref="B11:K11"/>
    <mergeCell ref="B15:K15"/>
    <mergeCell ref="B17:K17"/>
    <mergeCell ref="B26:K26"/>
    <mergeCell ref="B28:K28"/>
    <mergeCell ref="C164:J164"/>
    <mergeCell ref="B32:K32"/>
    <mergeCell ref="B34:K34"/>
    <mergeCell ref="B36:K36"/>
    <mergeCell ref="C166:F166"/>
    <mergeCell ref="C167:F167"/>
    <mergeCell ref="C168:F168"/>
    <mergeCell ref="C169:F169"/>
    <mergeCell ref="B174:E174"/>
    <mergeCell ref="B171:J171"/>
  </mergeCells>
  <printOptions horizontalCentered="1"/>
  <pageMargins left="0.67" right="0.22" top="0.42" bottom="0.31" header="0" footer="0"/>
  <pageSetup horizontalDpi="600" verticalDpi="600" orientation="portrait" paperSize="9" scale="94" r:id="rId4"/>
  <headerFooter alignWithMargins="0">
    <oddHeader>&amp;R&amp;8&amp;P</oddHeader>
    <oddFooter>&amp;L&amp;8&amp;F    &amp;A</oddFooter>
  </headerFooter>
  <rowBreaks count="3" manualBreakCount="3">
    <brk id="55" max="255" man="1"/>
    <brk id="106" max="255" man="1"/>
    <brk id="154" max="255" man="1"/>
  </rowBreaks>
  <drawing r:id="rId3"/>
  <legacyDrawing r:id="rId2"/>
  <oleObjects>
    <oleObject progId="Equation.3" shapeId="73243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96"/>
  <sheetViews>
    <sheetView showZeros="0" zoomScalePageLayoutView="0" workbookViewId="0" topLeftCell="A1">
      <pane xSplit="3" ySplit="5" topLeftCell="D6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83" sqref="D83"/>
    </sheetView>
  </sheetViews>
  <sheetFormatPr defaultColWidth="9.00390625" defaultRowHeight="15.75" outlineLevelRow="1"/>
  <cols>
    <col min="1" max="1" width="0.875" style="35" customWidth="1"/>
    <col min="2" max="2" width="3.375" style="181" customWidth="1"/>
    <col min="3" max="3" width="21.50390625" style="181" customWidth="1"/>
    <col min="4" max="4" width="15.625" style="181" customWidth="1"/>
    <col min="5" max="5" width="41.125" style="181" customWidth="1"/>
    <col min="6" max="6" width="0.875" style="35" customWidth="1"/>
    <col min="7" max="16384" width="9.00390625" style="181" customWidth="1"/>
  </cols>
  <sheetData>
    <row r="1" spans="1:6" ht="24">
      <c r="A1" s="90"/>
      <c r="B1" s="303" t="s">
        <v>370</v>
      </c>
      <c r="C1" s="499" t="str">
        <f>"Форма 1.1 - Журнал учета текущей информации о прекращении передачи электрической энергии для потребителей услуг электросетевой организации"</f>
        <v>Форма 1.1 - Журнал учета текущей информации о прекращении передачи электрической энергии для потребителей услуг электросетевой организации</v>
      </c>
      <c r="D1" s="499"/>
      <c r="E1" s="499"/>
      <c r="F1" s="7"/>
    </row>
    <row r="2" spans="1:6" ht="12">
      <c r="A2" s="7"/>
      <c r="B2" s="107"/>
      <c r="C2" s="107" t="str">
        <f>Содержание!C5</f>
        <v>ООО "Томские электрические сети"</v>
      </c>
      <c r="E2" s="107"/>
      <c r="F2" s="7"/>
    </row>
    <row r="3" spans="1:6" s="305" customFormat="1" ht="12">
      <c r="A3" s="7"/>
      <c r="B3" s="107"/>
      <c r="C3" s="304" t="s">
        <v>37</v>
      </c>
      <c r="E3" s="400" t="s">
        <v>453</v>
      </c>
      <c r="F3" s="7"/>
    </row>
    <row r="4" spans="1:6" s="307" customFormat="1" ht="22.5">
      <c r="A4" s="113"/>
      <c r="B4" s="306" t="s">
        <v>10</v>
      </c>
      <c r="C4" s="306" t="s">
        <v>51</v>
      </c>
      <c r="D4" s="306" t="s">
        <v>52</v>
      </c>
      <c r="E4" s="306" t="s">
        <v>53</v>
      </c>
      <c r="F4" s="113"/>
    </row>
    <row r="5" spans="1:6" s="307" customFormat="1" ht="11.25">
      <c r="A5" s="113"/>
      <c r="B5" s="306">
        <v>1</v>
      </c>
      <c r="C5" s="306">
        <v>2</v>
      </c>
      <c r="D5" s="306">
        <v>3</v>
      </c>
      <c r="E5" s="306">
        <v>4</v>
      </c>
      <c r="F5" s="113"/>
    </row>
    <row r="6" spans="1:6" ht="12">
      <c r="A6" s="113"/>
      <c r="B6" s="180">
        <v>1</v>
      </c>
      <c r="C6" s="183" t="str">
        <f>'[1]Форма.1.1'!C6</f>
        <v>Январь - Журнал учета</v>
      </c>
      <c r="D6" s="183">
        <v>0</v>
      </c>
      <c r="E6" s="576">
        <v>500</v>
      </c>
      <c r="F6" s="113"/>
    </row>
    <row r="7" spans="1:6" ht="12">
      <c r="A7" s="113"/>
      <c r="B7" s="180">
        <v>2</v>
      </c>
      <c r="C7" s="183" t="str">
        <f>'[1]Форма.1.1'!C7</f>
        <v>Февраль - Журнал учета</v>
      </c>
      <c r="D7" s="183"/>
      <c r="E7" s="576">
        <v>523</v>
      </c>
      <c r="F7" s="113"/>
    </row>
    <row r="8" spans="1:6" ht="12">
      <c r="A8" s="113"/>
      <c r="B8" s="180">
        <v>3</v>
      </c>
      <c r="C8" s="183" t="str">
        <f>'[1]Форма.1.1'!C8</f>
        <v>Март - Журнал учета</v>
      </c>
      <c r="D8" s="183"/>
      <c r="E8" s="576">
        <v>575</v>
      </c>
      <c r="F8" s="113"/>
    </row>
    <row r="9" spans="1:6" ht="12">
      <c r="A9" s="113"/>
      <c r="B9" s="180">
        <v>4</v>
      </c>
      <c r="C9" s="183" t="str">
        <f>'[1]Форма.1.1'!C9</f>
        <v>Апрель - Журнал учета</v>
      </c>
      <c r="D9" s="183"/>
      <c r="E9" s="576">
        <v>624</v>
      </c>
      <c r="F9" s="113"/>
    </row>
    <row r="10" spans="1:6" ht="12">
      <c r="A10" s="113"/>
      <c r="B10" s="180">
        <v>5</v>
      </c>
      <c r="C10" s="183" t="str">
        <f>'[1]Форма.1.1'!C10</f>
        <v>Май - Журнал учета</v>
      </c>
      <c r="D10" s="183"/>
      <c r="E10" s="576">
        <v>627</v>
      </c>
      <c r="F10" s="113"/>
    </row>
    <row r="11" spans="1:6" ht="12">
      <c r="A11" s="113"/>
      <c r="B11" s="180">
        <v>6</v>
      </c>
      <c r="C11" s="183" t="str">
        <f>'[1]Форма.1.1'!C11</f>
        <v>Июнь - Журнал учета</v>
      </c>
      <c r="D11" s="183"/>
      <c r="E11" s="576">
        <v>637</v>
      </c>
      <c r="F11" s="113"/>
    </row>
    <row r="12" spans="1:6" ht="12">
      <c r="A12" s="113"/>
      <c r="B12" s="180">
        <v>7</v>
      </c>
      <c r="C12" s="183" t="str">
        <f>'[1]Форма.1.1'!C12</f>
        <v>Июль - Журнал учета</v>
      </c>
      <c r="D12" s="183"/>
      <c r="E12" s="576">
        <v>591</v>
      </c>
      <c r="F12" s="113"/>
    </row>
    <row r="13" spans="1:6" ht="12">
      <c r="A13" s="113"/>
      <c r="B13" s="180">
        <v>8</v>
      </c>
      <c r="C13" s="183" t="str">
        <f>'[1]Форма.1.1'!C13</f>
        <v>Август - Журнал учета</v>
      </c>
      <c r="D13" s="576">
        <v>1.55</v>
      </c>
      <c r="E13" s="576">
        <v>607</v>
      </c>
      <c r="F13" s="113"/>
    </row>
    <row r="14" spans="1:6" ht="12">
      <c r="A14" s="113"/>
      <c r="B14" s="180">
        <v>9</v>
      </c>
      <c r="C14" s="183" t="str">
        <f>'[1]Форма.1.1'!C14</f>
        <v>Сентябрь - Журнал учета</v>
      </c>
      <c r="D14" s="576"/>
      <c r="E14" s="576">
        <v>513</v>
      </c>
      <c r="F14" s="113"/>
    </row>
    <row r="15" spans="1:6" ht="12">
      <c r="A15" s="113"/>
      <c r="B15" s="180">
        <v>10</v>
      </c>
      <c r="C15" s="183" t="str">
        <f>'[1]Форма.1.1'!C15</f>
        <v>Октябрь - Журнал учета</v>
      </c>
      <c r="D15" s="576">
        <v>0.97</v>
      </c>
      <c r="E15" s="576">
        <v>611</v>
      </c>
      <c r="F15" s="113"/>
    </row>
    <row r="16" spans="1:6" ht="12">
      <c r="A16" s="113"/>
      <c r="B16" s="180">
        <v>11</v>
      </c>
      <c r="C16" s="183" t="str">
        <f>'[1]Форма.1.1'!C16</f>
        <v>Ноябрь - Журнал учета</v>
      </c>
      <c r="D16" s="183">
        <v>0</v>
      </c>
      <c r="E16" s="576">
        <v>666</v>
      </c>
      <c r="F16" s="113"/>
    </row>
    <row r="17" spans="1:6" ht="12">
      <c r="A17" s="113"/>
      <c r="B17" s="180">
        <v>12</v>
      </c>
      <c r="C17" s="183" t="str">
        <f>'[1]Форма.1.1'!C17</f>
        <v>Декабрь - Журнал учета</v>
      </c>
      <c r="D17" s="183"/>
      <c r="E17" s="576">
        <v>669</v>
      </c>
      <c r="F17" s="113"/>
    </row>
    <row r="18" spans="1:6" s="35" customFormat="1" ht="5.25">
      <c r="A18" s="7"/>
      <c r="B18" s="7"/>
      <c r="C18" s="7"/>
      <c r="D18" s="7"/>
      <c r="E18" s="7"/>
      <c r="F18" s="7"/>
    </row>
    <row r="19" spans="1:6" s="305" customFormat="1" ht="12" hidden="1" outlineLevel="1">
      <c r="A19" s="7"/>
      <c r="B19" s="107"/>
      <c r="C19" s="304"/>
      <c r="E19" s="400">
        <f>'[1]Форма.1.1'!E19</f>
        <v>2014</v>
      </c>
      <c r="F19" s="7"/>
    </row>
    <row r="20" spans="1:6" s="307" customFormat="1" ht="22.5" hidden="1" outlineLevel="1">
      <c r="A20" s="113"/>
      <c r="B20" s="306" t="s">
        <v>10</v>
      </c>
      <c r="C20" s="306" t="s">
        <v>51</v>
      </c>
      <c r="D20" s="306" t="s">
        <v>52</v>
      </c>
      <c r="E20" s="306" t="s">
        <v>53</v>
      </c>
      <c r="F20" s="113"/>
    </row>
    <row r="21" spans="1:6" s="307" customFormat="1" ht="11.25" hidden="1" outlineLevel="1">
      <c r="A21" s="113"/>
      <c r="B21" s="306">
        <v>1</v>
      </c>
      <c r="C21" s="306">
        <v>2</v>
      </c>
      <c r="D21" s="306">
        <v>3</v>
      </c>
      <c r="E21" s="306">
        <v>4</v>
      </c>
      <c r="F21" s="113"/>
    </row>
    <row r="22" spans="1:6" ht="12" hidden="1" outlineLevel="1">
      <c r="A22" s="113"/>
      <c r="B22" s="180">
        <v>1</v>
      </c>
      <c r="C22" s="183" t="str">
        <f>'[1]Форма.1.1'!C22</f>
        <v>Январь - Журнал учета</v>
      </c>
      <c r="D22" s="183">
        <f>'[1]Форма.1.1'!D22</f>
        <v>0</v>
      </c>
      <c r="E22" s="183">
        <f>'[1]Форма.1.1'!E22</f>
        <v>0</v>
      </c>
      <c r="F22" s="113"/>
    </row>
    <row r="23" spans="1:6" ht="12" hidden="1" outlineLevel="1">
      <c r="A23" s="113"/>
      <c r="B23" s="180">
        <v>2</v>
      </c>
      <c r="C23" s="183" t="str">
        <f>'[1]Форма.1.1'!C23</f>
        <v>Февраль - Журнал учета</v>
      </c>
      <c r="D23" s="183">
        <f>'[1]Форма.1.1'!D23</f>
        <v>0</v>
      </c>
      <c r="E23" s="183">
        <f>'[1]Форма.1.1'!E23</f>
        <v>0</v>
      </c>
      <c r="F23" s="113"/>
    </row>
    <row r="24" spans="1:6" ht="12" hidden="1" outlineLevel="1">
      <c r="A24" s="113"/>
      <c r="B24" s="180">
        <v>3</v>
      </c>
      <c r="C24" s="183" t="str">
        <f>'[1]Форма.1.1'!C24</f>
        <v>Март - Журнал учета</v>
      </c>
      <c r="D24" s="183">
        <f>'[1]Форма.1.1'!D24</f>
        <v>0</v>
      </c>
      <c r="E24" s="183">
        <f>'[1]Форма.1.1'!E24</f>
        <v>0</v>
      </c>
      <c r="F24" s="113"/>
    </row>
    <row r="25" spans="1:6" ht="12" hidden="1" outlineLevel="1">
      <c r="A25" s="113"/>
      <c r="B25" s="180">
        <v>4</v>
      </c>
      <c r="C25" s="183" t="str">
        <f>'[1]Форма.1.1'!C25</f>
        <v>Апрель - Журнал учета</v>
      </c>
      <c r="D25" s="183">
        <f>'[1]Форма.1.1'!D25</f>
        <v>0</v>
      </c>
      <c r="E25" s="183">
        <f>'[1]Форма.1.1'!E25</f>
        <v>0</v>
      </c>
      <c r="F25" s="113"/>
    </row>
    <row r="26" spans="1:6" ht="12" hidden="1" outlineLevel="1">
      <c r="A26" s="113"/>
      <c r="B26" s="180">
        <v>5</v>
      </c>
      <c r="C26" s="183" t="str">
        <f>'[1]Форма.1.1'!C26</f>
        <v>Май - Журнал учета</v>
      </c>
      <c r="D26" s="183">
        <f>'[1]Форма.1.1'!D26</f>
        <v>0</v>
      </c>
      <c r="E26" s="183">
        <f>'[1]Форма.1.1'!E26</f>
        <v>0</v>
      </c>
      <c r="F26" s="113"/>
    </row>
    <row r="27" spans="1:6" ht="12" hidden="1" outlineLevel="1">
      <c r="A27" s="113"/>
      <c r="B27" s="180">
        <v>6</v>
      </c>
      <c r="C27" s="183" t="str">
        <f>'[1]Форма.1.1'!C27</f>
        <v>Июнь - Журнал учета</v>
      </c>
      <c r="D27" s="183">
        <f>'[1]Форма.1.1'!D27</f>
        <v>0</v>
      </c>
      <c r="E27" s="183">
        <f>'[1]Форма.1.1'!E27</f>
        <v>0</v>
      </c>
      <c r="F27" s="113"/>
    </row>
    <row r="28" spans="1:6" ht="12" hidden="1" outlineLevel="1">
      <c r="A28" s="113"/>
      <c r="B28" s="180">
        <v>7</v>
      </c>
      <c r="C28" s="183" t="str">
        <f>'[1]Форма.1.1'!C28</f>
        <v>Июль - Журнал учета</v>
      </c>
      <c r="D28" s="183">
        <f>'[1]Форма.1.1'!D28</f>
        <v>0</v>
      </c>
      <c r="E28" s="183">
        <f>'[1]Форма.1.1'!E28</f>
        <v>0</v>
      </c>
      <c r="F28" s="113"/>
    </row>
    <row r="29" spans="1:6" ht="12" hidden="1" outlineLevel="1">
      <c r="A29" s="113"/>
      <c r="B29" s="180">
        <v>8</v>
      </c>
      <c r="C29" s="183" t="str">
        <f>'[1]Форма.1.1'!C29</f>
        <v>Август - Журнал учета</v>
      </c>
      <c r="D29" s="183">
        <f>'[1]Форма.1.1'!D29</f>
        <v>0</v>
      </c>
      <c r="E29" s="183">
        <f>'[1]Форма.1.1'!E29</f>
        <v>0</v>
      </c>
      <c r="F29" s="113"/>
    </row>
    <row r="30" spans="1:6" ht="12" hidden="1" outlineLevel="1">
      <c r="A30" s="113"/>
      <c r="B30" s="180">
        <v>9</v>
      </c>
      <c r="C30" s="183" t="str">
        <f>'[1]Форма.1.1'!C30</f>
        <v>Сентябрь - Журнал учета</v>
      </c>
      <c r="D30" s="183">
        <f>'[1]Форма.1.1'!D30</f>
        <v>0</v>
      </c>
      <c r="E30" s="183">
        <f>'[1]Форма.1.1'!E30</f>
        <v>0</v>
      </c>
      <c r="F30" s="113"/>
    </row>
    <row r="31" spans="1:6" ht="12" hidden="1" outlineLevel="1">
      <c r="A31" s="113"/>
      <c r="B31" s="180">
        <v>10</v>
      </c>
      <c r="C31" s="183" t="str">
        <f>'[1]Форма.1.1'!C31</f>
        <v>Октябрь - Журнал учета</v>
      </c>
      <c r="D31" s="183">
        <f>'[1]Форма.1.1'!D31</f>
        <v>0</v>
      </c>
      <c r="E31" s="183">
        <f>'[1]Форма.1.1'!E31</f>
        <v>0</v>
      </c>
      <c r="F31" s="113"/>
    </row>
    <row r="32" spans="1:6" ht="12" hidden="1" outlineLevel="1">
      <c r="A32" s="113"/>
      <c r="B32" s="180">
        <v>11</v>
      </c>
      <c r="C32" s="183" t="str">
        <f>'[1]Форма.1.1'!C32</f>
        <v>Ноябрь - Журнал учета</v>
      </c>
      <c r="D32" s="183">
        <f>'[1]Форма.1.1'!D32</f>
        <v>0</v>
      </c>
      <c r="E32" s="183">
        <f>'[1]Форма.1.1'!E32</f>
        <v>0</v>
      </c>
      <c r="F32" s="113"/>
    </row>
    <row r="33" spans="1:6" ht="12" hidden="1" outlineLevel="1">
      <c r="A33" s="113"/>
      <c r="B33" s="180">
        <v>12</v>
      </c>
      <c r="C33" s="183" t="str">
        <f>'[1]Форма.1.1'!C33</f>
        <v>Декабрь - Журнал учета</v>
      </c>
      <c r="D33" s="183">
        <f>'[1]Форма.1.1'!D33</f>
        <v>0</v>
      </c>
      <c r="E33" s="183">
        <f>'[1]Форма.1.1'!E33</f>
        <v>0</v>
      </c>
      <c r="F33" s="113"/>
    </row>
    <row r="34" spans="1:6" s="35" customFormat="1" ht="5.25" hidden="1" outlineLevel="1">
      <c r="A34" s="7"/>
      <c r="B34" s="7"/>
      <c r="C34" s="7"/>
      <c r="D34" s="7"/>
      <c r="E34" s="7"/>
      <c r="F34" s="7"/>
    </row>
    <row r="35" spans="1:6" s="305" customFormat="1" ht="12" hidden="1" outlineLevel="1">
      <c r="A35" s="7"/>
      <c r="B35" s="107"/>
      <c r="C35" s="304"/>
      <c r="E35" s="400">
        <f>'[1]Форма.1.1'!E35</f>
        <v>2013</v>
      </c>
      <c r="F35" s="7"/>
    </row>
    <row r="36" spans="1:6" s="307" customFormat="1" ht="22.5" hidden="1" outlineLevel="1">
      <c r="A36" s="113"/>
      <c r="B36" s="306" t="s">
        <v>10</v>
      </c>
      <c r="C36" s="306" t="s">
        <v>51</v>
      </c>
      <c r="D36" s="306" t="s">
        <v>52</v>
      </c>
      <c r="E36" s="306" t="s">
        <v>53</v>
      </c>
      <c r="F36" s="113"/>
    </row>
    <row r="37" spans="1:6" s="307" customFormat="1" ht="11.25" hidden="1" outlineLevel="1">
      <c r="A37" s="113"/>
      <c r="B37" s="306">
        <v>1</v>
      </c>
      <c r="C37" s="306">
        <v>2</v>
      </c>
      <c r="D37" s="306">
        <v>3</v>
      </c>
      <c r="E37" s="306">
        <v>4</v>
      </c>
      <c r="F37" s="113"/>
    </row>
    <row r="38" spans="1:6" ht="12" hidden="1" outlineLevel="1">
      <c r="A38" s="113"/>
      <c r="B38" s="180">
        <v>1</v>
      </c>
      <c r="C38" s="183">
        <f>'[1]Форма.1.1'!C38</f>
        <v>0</v>
      </c>
      <c r="D38" s="183">
        <f>'[1]Форма.1.1'!D38</f>
        <v>0</v>
      </c>
      <c r="E38" s="183">
        <f>'[1]Форма.1.1'!E38</f>
        <v>0</v>
      </c>
      <c r="F38" s="113"/>
    </row>
    <row r="39" spans="1:6" ht="12" hidden="1" outlineLevel="1">
      <c r="A39" s="113"/>
      <c r="B39" s="180">
        <v>2</v>
      </c>
      <c r="C39" s="183">
        <f>'[1]Форма.1.1'!C39</f>
        <v>0</v>
      </c>
      <c r="D39" s="183">
        <f>'[1]Форма.1.1'!D39</f>
        <v>0</v>
      </c>
      <c r="E39" s="183">
        <f>'[1]Форма.1.1'!E39</f>
        <v>0</v>
      </c>
      <c r="F39" s="113"/>
    </row>
    <row r="40" spans="1:6" ht="12" hidden="1" outlineLevel="1">
      <c r="A40" s="113"/>
      <c r="B40" s="180">
        <v>3</v>
      </c>
      <c r="C40" s="183">
        <f>'[1]Форма.1.1'!C40</f>
        <v>0</v>
      </c>
      <c r="D40" s="183">
        <f>'[1]Форма.1.1'!D40</f>
        <v>0</v>
      </c>
      <c r="E40" s="183">
        <f>'[1]Форма.1.1'!E40</f>
        <v>0</v>
      </c>
      <c r="F40" s="113"/>
    </row>
    <row r="41" spans="1:6" ht="12" hidden="1" outlineLevel="1">
      <c r="A41" s="113"/>
      <c r="B41" s="180">
        <v>4</v>
      </c>
      <c r="C41" s="183">
        <f>'[1]Форма.1.1'!C41</f>
        <v>0</v>
      </c>
      <c r="D41" s="183">
        <f>'[1]Форма.1.1'!D41</f>
        <v>0</v>
      </c>
      <c r="E41" s="183">
        <f>'[1]Форма.1.1'!E41</f>
        <v>0</v>
      </c>
      <c r="F41" s="113"/>
    </row>
    <row r="42" spans="1:6" ht="12" hidden="1" outlineLevel="1">
      <c r="A42" s="113"/>
      <c r="B42" s="180">
        <v>5</v>
      </c>
      <c r="C42" s="183">
        <f>'[1]Форма.1.1'!C42</f>
        <v>0</v>
      </c>
      <c r="D42" s="183">
        <f>'[1]Форма.1.1'!D42</f>
        <v>0</v>
      </c>
      <c r="E42" s="183">
        <f>'[1]Форма.1.1'!E42</f>
        <v>0</v>
      </c>
      <c r="F42" s="113"/>
    </row>
    <row r="43" spans="1:6" ht="12" hidden="1" outlineLevel="1">
      <c r="A43" s="113"/>
      <c r="B43" s="180">
        <v>6</v>
      </c>
      <c r="C43" s="183">
        <f>'[1]Форма.1.1'!C43</f>
        <v>0</v>
      </c>
      <c r="D43" s="183">
        <f>'[1]Форма.1.1'!D43</f>
        <v>0</v>
      </c>
      <c r="E43" s="183">
        <f>'[1]Форма.1.1'!E43</f>
        <v>0</v>
      </c>
      <c r="F43" s="113"/>
    </row>
    <row r="44" spans="1:6" ht="12" hidden="1" outlineLevel="1">
      <c r="A44" s="113"/>
      <c r="B44" s="180">
        <v>7</v>
      </c>
      <c r="C44" s="183">
        <f>'[1]Форма.1.1'!C44</f>
        <v>0</v>
      </c>
      <c r="D44" s="183">
        <f>'[1]Форма.1.1'!D44</f>
        <v>0</v>
      </c>
      <c r="E44" s="183">
        <f>'[1]Форма.1.1'!E44</f>
        <v>0</v>
      </c>
      <c r="F44" s="113"/>
    </row>
    <row r="45" spans="1:6" ht="12" hidden="1" outlineLevel="1">
      <c r="A45" s="113"/>
      <c r="B45" s="180">
        <v>8</v>
      </c>
      <c r="C45" s="183">
        <f>'[1]Форма.1.1'!C45</f>
        <v>0</v>
      </c>
      <c r="D45" s="183">
        <f>'[1]Форма.1.1'!D45</f>
        <v>0</v>
      </c>
      <c r="E45" s="183">
        <f>'[1]Форма.1.1'!E45</f>
        <v>0</v>
      </c>
      <c r="F45" s="113"/>
    </row>
    <row r="46" spans="1:6" ht="12" hidden="1" outlineLevel="1">
      <c r="A46" s="113"/>
      <c r="B46" s="180">
        <v>9</v>
      </c>
      <c r="C46" s="183">
        <f>'[1]Форма.1.1'!C46</f>
        <v>0</v>
      </c>
      <c r="D46" s="183">
        <f>'[1]Форма.1.1'!D46</f>
        <v>0</v>
      </c>
      <c r="E46" s="183">
        <f>'[1]Форма.1.1'!E46</f>
        <v>0</v>
      </c>
      <c r="F46" s="113"/>
    </row>
    <row r="47" spans="1:6" ht="12" hidden="1" outlineLevel="1">
      <c r="A47" s="113"/>
      <c r="B47" s="180">
        <v>10</v>
      </c>
      <c r="C47" s="183">
        <f>'[1]Форма.1.1'!C47</f>
        <v>0</v>
      </c>
      <c r="D47" s="183">
        <f>'[1]Форма.1.1'!D47</f>
        <v>0</v>
      </c>
      <c r="E47" s="183">
        <f>'[1]Форма.1.1'!E47</f>
        <v>0</v>
      </c>
      <c r="F47" s="113"/>
    </row>
    <row r="48" spans="1:6" ht="12" hidden="1" outlineLevel="1">
      <c r="A48" s="113"/>
      <c r="B48" s="180">
        <v>11</v>
      </c>
      <c r="C48" s="183">
        <f>'[1]Форма.1.1'!C48</f>
        <v>0</v>
      </c>
      <c r="D48" s="183">
        <f>'[1]Форма.1.1'!D48</f>
        <v>0</v>
      </c>
      <c r="E48" s="183">
        <f>'[1]Форма.1.1'!E48</f>
        <v>0</v>
      </c>
      <c r="F48" s="113"/>
    </row>
    <row r="49" spans="1:6" ht="12" hidden="1" outlineLevel="1">
      <c r="A49" s="113"/>
      <c r="B49" s="180">
        <v>12</v>
      </c>
      <c r="C49" s="183">
        <f>'[1]Форма.1.1'!C49</f>
        <v>0</v>
      </c>
      <c r="D49" s="183">
        <f>'[1]Форма.1.1'!D49</f>
        <v>0</v>
      </c>
      <c r="E49" s="183">
        <f>'[1]Форма.1.1'!E49</f>
        <v>0</v>
      </c>
      <c r="F49" s="113"/>
    </row>
    <row r="50" spans="1:6" s="35" customFormat="1" ht="5.25" hidden="1" outlineLevel="1">
      <c r="A50" s="7"/>
      <c r="B50" s="7"/>
      <c r="C50" s="7"/>
      <c r="D50" s="7"/>
      <c r="E50" s="7"/>
      <c r="F50" s="7"/>
    </row>
    <row r="51" spans="1:6" s="305" customFormat="1" ht="12" hidden="1" outlineLevel="1">
      <c r="A51" s="7"/>
      <c r="B51" s="107"/>
      <c r="C51" s="304"/>
      <c r="E51" s="400">
        <f>'[1]Форма.1.1'!E51</f>
        <v>2012</v>
      </c>
      <c r="F51" s="7"/>
    </row>
    <row r="52" spans="1:6" s="307" customFormat="1" ht="22.5" hidden="1" outlineLevel="1">
      <c r="A52" s="113"/>
      <c r="B52" s="306" t="s">
        <v>10</v>
      </c>
      <c r="C52" s="306" t="s">
        <v>51</v>
      </c>
      <c r="D52" s="306" t="s">
        <v>52</v>
      </c>
      <c r="E52" s="306" t="s">
        <v>53</v>
      </c>
      <c r="F52" s="113"/>
    </row>
    <row r="53" spans="1:6" s="307" customFormat="1" ht="11.25" hidden="1" outlineLevel="1">
      <c r="A53" s="113"/>
      <c r="B53" s="306">
        <v>1</v>
      </c>
      <c r="C53" s="306">
        <v>2</v>
      </c>
      <c r="D53" s="306">
        <v>3</v>
      </c>
      <c r="E53" s="306">
        <v>4</v>
      </c>
      <c r="F53" s="113"/>
    </row>
    <row r="54" spans="1:6" ht="12" hidden="1" outlineLevel="1">
      <c r="A54" s="113"/>
      <c r="B54" s="180">
        <v>1</v>
      </c>
      <c r="C54" s="183">
        <f>'[1]Форма.1.1'!C54</f>
        <v>0</v>
      </c>
      <c r="D54" s="183">
        <f>'[1]Форма.1.1'!D54</f>
        <v>0</v>
      </c>
      <c r="E54" s="183">
        <f>'[1]Форма.1.1'!E54</f>
        <v>0</v>
      </c>
      <c r="F54" s="113"/>
    </row>
    <row r="55" spans="1:6" ht="12" hidden="1" outlineLevel="1">
      <c r="A55" s="113"/>
      <c r="B55" s="180">
        <v>2</v>
      </c>
      <c r="C55" s="183">
        <f>'[1]Форма.1.1'!C55</f>
        <v>0</v>
      </c>
      <c r="D55" s="183">
        <f>'[1]Форма.1.1'!D55</f>
        <v>0</v>
      </c>
      <c r="E55" s="183">
        <f>'[1]Форма.1.1'!E55</f>
        <v>0</v>
      </c>
      <c r="F55" s="113"/>
    </row>
    <row r="56" spans="1:6" ht="12" hidden="1" outlineLevel="1">
      <c r="A56" s="113"/>
      <c r="B56" s="180">
        <v>3</v>
      </c>
      <c r="C56" s="183">
        <f>'[1]Форма.1.1'!C56</f>
        <v>0</v>
      </c>
      <c r="D56" s="183">
        <f>'[1]Форма.1.1'!D56</f>
        <v>0</v>
      </c>
      <c r="E56" s="183">
        <f>'[1]Форма.1.1'!E56</f>
        <v>0</v>
      </c>
      <c r="F56" s="113"/>
    </row>
    <row r="57" spans="1:6" ht="12" hidden="1" outlineLevel="1">
      <c r="A57" s="113"/>
      <c r="B57" s="180">
        <v>4</v>
      </c>
      <c r="C57" s="183">
        <f>'[1]Форма.1.1'!C57</f>
        <v>0</v>
      </c>
      <c r="D57" s="183">
        <f>'[1]Форма.1.1'!D57</f>
        <v>0</v>
      </c>
      <c r="E57" s="183">
        <f>'[1]Форма.1.1'!E57</f>
        <v>0</v>
      </c>
      <c r="F57" s="113"/>
    </row>
    <row r="58" spans="1:6" ht="12" hidden="1" outlineLevel="1">
      <c r="A58" s="113"/>
      <c r="B58" s="180">
        <v>5</v>
      </c>
      <c r="C58" s="183">
        <f>'[1]Форма.1.1'!C58</f>
        <v>0</v>
      </c>
      <c r="D58" s="183">
        <f>'[1]Форма.1.1'!D58</f>
        <v>0</v>
      </c>
      <c r="E58" s="183">
        <f>'[1]Форма.1.1'!E58</f>
        <v>0</v>
      </c>
      <c r="F58" s="113"/>
    </row>
    <row r="59" spans="1:6" ht="12" hidden="1" outlineLevel="1">
      <c r="A59" s="113"/>
      <c r="B59" s="180">
        <v>6</v>
      </c>
      <c r="C59" s="183">
        <f>'[1]Форма.1.1'!C59</f>
        <v>0</v>
      </c>
      <c r="D59" s="183">
        <f>'[1]Форма.1.1'!D59</f>
        <v>0</v>
      </c>
      <c r="E59" s="183">
        <f>'[1]Форма.1.1'!E59</f>
        <v>0</v>
      </c>
      <c r="F59" s="113"/>
    </row>
    <row r="60" spans="1:6" ht="12" hidden="1" outlineLevel="1">
      <c r="A60" s="113"/>
      <c r="B60" s="180">
        <v>7</v>
      </c>
      <c r="C60" s="183">
        <f>'[1]Форма.1.1'!C60</f>
        <v>0</v>
      </c>
      <c r="D60" s="183">
        <f>'[1]Форма.1.1'!D60</f>
        <v>0</v>
      </c>
      <c r="E60" s="183">
        <f>'[1]Форма.1.1'!E60</f>
        <v>0</v>
      </c>
      <c r="F60" s="113"/>
    </row>
    <row r="61" spans="1:6" ht="12" hidden="1" outlineLevel="1">
      <c r="A61" s="113"/>
      <c r="B61" s="180">
        <v>8</v>
      </c>
      <c r="C61" s="183">
        <f>'[1]Форма.1.1'!C61</f>
        <v>0</v>
      </c>
      <c r="D61" s="183">
        <f>'[1]Форма.1.1'!D61</f>
        <v>0</v>
      </c>
      <c r="E61" s="183">
        <f>'[1]Форма.1.1'!E61</f>
        <v>0</v>
      </c>
      <c r="F61" s="113"/>
    </row>
    <row r="62" spans="1:6" ht="12" hidden="1" outlineLevel="1">
      <c r="A62" s="113"/>
      <c r="B62" s="180">
        <v>9</v>
      </c>
      <c r="C62" s="183">
        <f>'[1]Форма.1.1'!C62</f>
        <v>0</v>
      </c>
      <c r="D62" s="183">
        <f>'[1]Форма.1.1'!D62</f>
        <v>0</v>
      </c>
      <c r="E62" s="183">
        <f>'[1]Форма.1.1'!E62</f>
        <v>0</v>
      </c>
      <c r="F62" s="113"/>
    </row>
    <row r="63" spans="1:6" ht="12" hidden="1" outlineLevel="1">
      <c r="A63" s="113"/>
      <c r="B63" s="180">
        <v>10</v>
      </c>
      <c r="C63" s="183">
        <f>'[1]Форма.1.1'!C63</f>
        <v>0</v>
      </c>
      <c r="D63" s="183">
        <f>'[1]Форма.1.1'!D63</f>
        <v>0</v>
      </c>
      <c r="E63" s="183">
        <f>'[1]Форма.1.1'!E63</f>
        <v>0</v>
      </c>
      <c r="F63" s="113"/>
    </row>
    <row r="64" spans="1:6" ht="12" hidden="1" outlineLevel="1">
      <c r="A64" s="113"/>
      <c r="B64" s="180">
        <v>11</v>
      </c>
      <c r="C64" s="183">
        <f>'[1]Форма.1.1'!C64</f>
        <v>0</v>
      </c>
      <c r="D64" s="183">
        <f>'[1]Форма.1.1'!D64</f>
        <v>0</v>
      </c>
      <c r="E64" s="183">
        <f>'[1]Форма.1.1'!E64</f>
        <v>0</v>
      </c>
      <c r="F64" s="113"/>
    </row>
    <row r="65" spans="1:6" ht="12" hidden="1" outlineLevel="1">
      <c r="A65" s="113"/>
      <c r="B65" s="180">
        <v>12</v>
      </c>
      <c r="C65" s="183">
        <f>'[1]Форма.1.1'!C65</f>
        <v>0</v>
      </c>
      <c r="D65" s="183">
        <f>'[1]Форма.1.1'!D65</f>
        <v>0</v>
      </c>
      <c r="E65" s="183">
        <f>'[1]Форма.1.1'!E65</f>
        <v>0</v>
      </c>
      <c r="F65" s="113"/>
    </row>
    <row r="66" spans="1:6" s="35" customFormat="1" ht="5.25" outlineLevel="1">
      <c r="A66" s="7"/>
      <c r="B66" s="7"/>
      <c r="C66" s="7"/>
      <c r="D66" s="7"/>
      <c r="E66" s="7"/>
      <c r="F66" s="7"/>
    </row>
    <row r="67" spans="1:6" s="305" customFormat="1" ht="12">
      <c r="A67" s="7"/>
      <c r="B67" s="107"/>
      <c r="C67" s="304"/>
      <c r="E67" s="400" t="s">
        <v>456</v>
      </c>
      <c r="F67" s="7"/>
    </row>
    <row r="68" spans="1:6" s="307" customFormat="1" ht="22.5">
      <c r="A68" s="113"/>
      <c r="B68" s="306" t="s">
        <v>10</v>
      </c>
      <c r="C68" s="306" t="s">
        <v>51</v>
      </c>
      <c r="D68" s="306" t="s">
        <v>52</v>
      </c>
      <c r="E68" s="306" t="s">
        <v>53</v>
      </c>
      <c r="F68" s="113"/>
    </row>
    <row r="69" spans="1:6" s="307" customFormat="1" ht="11.25">
      <c r="A69" s="113"/>
      <c r="B69" s="306">
        <v>1</v>
      </c>
      <c r="C69" s="306">
        <v>2</v>
      </c>
      <c r="D69" s="306">
        <v>3</v>
      </c>
      <c r="E69" s="306">
        <v>4</v>
      </c>
      <c r="F69" s="113"/>
    </row>
    <row r="70" spans="1:6" ht="12">
      <c r="A70" s="113"/>
      <c r="B70" s="180">
        <v>13</v>
      </c>
      <c r="C70" s="183" t="s">
        <v>439</v>
      </c>
      <c r="D70" s="183">
        <v>3</v>
      </c>
      <c r="E70" s="576">
        <v>500</v>
      </c>
      <c r="F70" s="113"/>
    </row>
    <row r="71" spans="1:6" ht="12">
      <c r="A71" s="113"/>
      <c r="B71" s="180">
        <v>14</v>
      </c>
      <c r="C71" s="183" t="s">
        <v>440</v>
      </c>
      <c r="D71" s="183">
        <v>2</v>
      </c>
      <c r="E71" s="576">
        <v>523</v>
      </c>
      <c r="F71" s="113"/>
    </row>
    <row r="72" spans="1:6" ht="12">
      <c r="A72" s="113"/>
      <c r="B72" s="180">
        <v>15</v>
      </c>
      <c r="C72" s="183" t="s">
        <v>441</v>
      </c>
      <c r="D72" s="183">
        <v>9</v>
      </c>
      <c r="E72" s="576">
        <v>575</v>
      </c>
      <c r="F72" s="113"/>
    </row>
    <row r="73" spans="1:6" ht="12">
      <c r="A73" s="113"/>
      <c r="B73" s="180">
        <v>16</v>
      </c>
      <c r="C73" s="183" t="s">
        <v>442</v>
      </c>
      <c r="D73" s="183">
        <v>1.5</v>
      </c>
      <c r="E73" s="576">
        <v>624</v>
      </c>
      <c r="F73" s="113"/>
    </row>
    <row r="74" spans="1:6" ht="12">
      <c r="A74" s="113"/>
      <c r="B74" s="180">
        <v>17</v>
      </c>
      <c r="C74" s="183" t="s">
        <v>443</v>
      </c>
      <c r="D74" s="183">
        <v>23.83</v>
      </c>
      <c r="E74" s="576">
        <v>627</v>
      </c>
      <c r="F74" s="113"/>
    </row>
    <row r="75" spans="1:6" ht="12">
      <c r="A75" s="113"/>
      <c r="B75" s="180">
        <v>18</v>
      </c>
      <c r="C75" s="183" t="s">
        <v>444</v>
      </c>
      <c r="D75" s="183"/>
      <c r="E75" s="576">
        <v>637</v>
      </c>
      <c r="F75" s="113"/>
    </row>
    <row r="76" spans="1:6" ht="12">
      <c r="A76" s="113"/>
      <c r="B76" s="180">
        <v>19</v>
      </c>
      <c r="C76" s="183" t="s">
        <v>445</v>
      </c>
      <c r="D76" s="183"/>
      <c r="E76" s="576">
        <v>591</v>
      </c>
      <c r="F76" s="113"/>
    </row>
    <row r="77" spans="1:6" ht="12">
      <c r="A77" s="113"/>
      <c r="B77" s="180">
        <v>20</v>
      </c>
      <c r="C77" s="183" t="s">
        <v>446</v>
      </c>
      <c r="D77" s="576">
        <v>13.3</v>
      </c>
      <c r="E77" s="576">
        <v>607</v>
      </c>
      <c r="F77" s="113"/>
    </row>
    <row r="78" spans="1:6" ht="12">
      <c r="A78" s="113"/>
      <c r="B78" s="180">
        <v>21</v>
      </c>
      <c r="C78" s="183" t="s">
        <v>447</v>
      </c>
      <c r="D78" s="576">
        <v>5.58</v>
      </c>
      <c r="E78" s="576">
        <v>513</v>
      </c>
      <c r="F78" s="113"/>
    </row>
    <row r="79" spans="1:6" ht="12">
      <c r="A79" s="113"/>
      <c r="B79" s="180">
        <v>22</v>
      </c>
      <c r="C79" s="183" t="s">
        <v>448</v>
      </c>
      <c r="D79" s="576">
        <v>7.15</v>
      </c>
      <c r="E79" s="576">
        <v>611</v>
      </c>
      <c r="F79" s="113"/>
    </row>
    <row r="80" spans="1:6" ht="12">
      <c r="A80" s="113"/>
      <c r="B80" s="180">
        <v>23</v>
      </c>
      <c r="C80" s="183" t="s">
        <v>449</v>
      </c>
      <c r="D80" s="183">
        <v>10.9</v>
      </c>
      <c r="E80" s="576">
        <v>666</v>
      </c>
      <c r="F80" s="113"/>
    </row>
    <row r="81" spans="1:6" ht="12">
      <c r="A81" s="113"/>
      <c r="B81" s="180">
        <v>24</v>
      </c>
      <c r="C81" s="183" t="s">
        <v>450</v>
      </c>
      <c r="D81" s="183">
        <v>29.78</v>
      </c>
      <c r="E81" s="576">
        <v>669</v>
      </c>
      <c r="F81" s="113"/>
    </row>
    <row r="82" spans="1:6" ht="12">
      <c r="A82" s="113"/>
      <c r="B82" s="106"/>
      <c r="C82" s="468"/>
      <c r="D82" s="468"/>
      <c r="E82" s="468"/>
      <c r="F82" s="113"/>
    </row>
    <row r="83" spans="3:5" ht="12">
      <c r="C83" s="469" t="str">
        <f>'[1]Форма.1.1'!$C$83</f>
        <v>Примечание :</v>
      </c>
      <c r="D83" s="473"/>
      <c r="E83" s="471"/>
    </row>
    <row r="84" spans="3:5" ht="12">
      <c r="C84" s="472"/>
      <c r="D84" s="470"/>
      <c r="E84" s="471"/>
    </row>
    <row r="85" spans="3:5" ht="12">
      <c r="C85" s="472">
        <f>'[1]Форма.1.1'!$C$85</f>
        <v>0</v>
      </c>
      <c r="D85" s="470"/>
      <c r="E85" s="471"/>
    </row>
    <row r="86" spans="3:5" ht="12">
      <c r="C86" s="472">
        <f>'[1]Форма.1.1'!$C$86</f>
        <v>0</v>
      </c>
      <c r="D86" s="470"/>
      <c r="E86" s="471"/>
    </row>
    <row r="87" spans="3:5" ht="12">
      <c r="C87" s="472">
        <f>'[1]Форма.1.1'!$C$87</f>
        <v>0</v>
      </c>
      <c r="D87" s="470"/>
      <c r="E87" s="471"/>
    </row>
    <row r="88" spans="3:5" ht="12">
      <c r="C88" s="472">
        <f>'[1]Форма.1.1'!$C$88</f>
        <v>0</v>
      </c>
      <c r="D88" s="470"/>
      <c r="E88" s="471"/>
    </row>
    <row r="89" spans="3:5" ht="12">
      <c r="C89" s="472">
        <f>'[1]Форма.1.1'!$C$89</f>
        <v>0</v>
      </c>
      <c r="D89" s="470"/>
      <c r="E89" s="471"/>
    </row>
    <row r="90" spans="3:5" ht="12">
      <c r="C90" s="472"/>
      <c r="D90" s="470"/>
      <c r="E90" s="471"/>
    </row>
    <row r="91" spans="1:6" ht="12">
      <c r="A91" s="113"/>
      <c r="B91" s="466"/>
      <c r="C91" s="467"/>
      <c r="D91" s="468"/>
      <c r="E91" s="468"/>
      <c r="F91" s="113"/>
    </row>
    <row r="92" spans="1:6" ht="15.75" customHeight="1">
      <c r="A92" s="7"/>
      <c r="B92" s="500" t="str">
        <f>Содержание!$C$26</f>
        <v>Директор</v>
      </c>
      <c r="C92" s="500"/>
      <c r="D92" s="107"/>
      <c r="E92" s="107"/>
      <c r="F92" s="7"/>
    </row>
    <row r="93" spans="1:6" ht="12">
      <c r="A93" s="7"/>
      <c r="B93" s="500"/>
      <c r="C93" s="500"/>
      <c r="D93" s="43" t="str">
        <f>Содержание!G26</f>
        <v>Осипов Д.С.</v>
      </c>
      <c r="E93" s="43" t="s">
        <v>54</v>
      </c>
      <c r="F93" s="7"/>
    </row>
    <row r="94" spans="1:6" s="307" customFormat="1" ht="11.25">
      <c r="A94" s="7"/>
      <c r="B94" s="308"/>
      <c r="C94" s="309" t="s">
        <v>8</v>
      </c>
      <c r="D94" s="309" t="s">
        <v>20</v>
      </c>
      <c r="E94" s="309" t="s">
        <v>9</v>
      </c>
      <c r="F94" s="7"/>
    </row>
    <row r="95" spans="1:6" s="307" customFormat="1" ht="11.25">
      <c r="A95" s="7"/>
      <c r="B95" s="308"/>
      <c r="C95" s="308" t="s">
        <v>55</v>
      </c>
      <c r="D95" s="308"/>
      <c r="E95" s="308"/>
      <c r="F95" s="7"/>
    </row>
    <row r="96" spans="1:6" s="35" customFormat="1" ht="5.25">
      <c r="A96" s="7"/>
      <c r="F96" s="7"/>
    </row>
  </sheetData>
  <sheetProtection password="CA0A" sheet="1" formatCells="0" formatColumns="0" formatRows="0"/>
  <mergeCells count="2">
    <mergeCell ref="C1:E1"/>
    <mergeCell ref="B92:C93"/>
  </mergeCells>
  <printOptions horizontalCentered="1"/>
  <pageMargins left="0.72" right="0.25" top="0.23" bottom="0.24" header="0.16" footer="0.16"/>
  <pageSetup horizontalDpi="600" verticalDpi="600" orientation="portrait" paperSize="9" scale="97" r:id="rId1"/>
  <headerFooter alignWithMargins="0">
    <oddHeader>&amp;R&amp;8&amp;P</oddHeader>
    <oddFooter>&amp;L&amp;8&amp;F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SheetLayoutView="130" zoomScalePageLayoutView="0" workbookViewId="0" topLeftCell="A1">
      <pane ySplit="12" topLeftCell="A17" activePane="bottomLeft" state="frozen"/>
      <selection pane="topLeft" activeCell="H47" sqref="H47"/>
      <selection pane="bottomLeft" activeCell="J31" sqref="J31:J33"/>
    </sheetView>
  </sheetViews>
  <sheetFormatPr defaultColWidth="9.00390625" defaultRowHeight="15.75" outlineLevelCol="1"/>
  <cols>
    <col min="1" max="1" width="0.875" style="45" customWidth="1"/>
    <col min="2" max="6" width="3.50390625" style="49" hidden="1" customWidth="1" outlineLevel="1"/>
    <col min="7" max="7" width="0.875" style="177" hidden="1" customWidth="1" outlineLevel="1"/>
    <col min="8" max="8" width="20.625" style="177" customWidth="1" collapsed="1"/>
    <col min="9" max="9" width="18.875" style="177" customWidth="1"/>
    <col min="10" max="10" width="29.00390625" style="177" customWidth="1"/>
    <col min="11" max="11" width="11.625" style="177" hidden="1" customWidth="1" outlineLevel="1"/>
    <col min="12" max="12" width="10.50390625" style="54" hidden="1" customWidth="1" collapsed="1"/>
    <col min="13" max="13" width="10.50390625" style="54" hidden="1" customWidth="1"/>
    <col min="14" max="14" width="10.50390625" style="54" customWidth="1"/>
    <col min="15" max="16" width="0.875" style="83" customWidth="1"/>
    <col min="17" max="17" width="13.625" style="177" customWidth="1"/>
    <col min="18" max="18" width="10.75390625" style="177" customWidth="1"/>
    <col min="19" max="19" width="9.00390625" style="177" customWidth="1"/>
    <col min="20" max="20" width="2.875" style="398" customWidth="1"/>
    <col min="21" max="16384" width="9.00390625" style="177" customWidth="1"/>
  </cols>
  <sheetData>
    <row r="1" spans="1:20" s="83" customFormat="1" ht="5.25">
      <c r="A1" s="44"/>
      <c r="B1" s="45"/>
      <c r="C1" s="45"/>
      <c r="D1" s="45"/>
      <c r="E1" s="45"/>
      <c r="F1" s="45"/>
      <c r="L1" s="53"/>
      <c r="M1" s="53"/>
      <c r="N1" s="53"/>
      <c r="T1" s="396"/>
    </row>
    <row r="2" spans="1:20" s="172" customFormat="1" ht="25.5">
      <c r="A2" s="48"/>
      <c r="B2" s="49"/>
      <c r="C2" s="49"/>
      <c r="D2" s="49"/>
      <c r="E2" s="49"/>
      <c r="F2" s="50"/>
      <c r="H2" s="75" t="s">
        <v>208</v>
      </c>
      <c r="L2" s="173"/>
      <c r="M2" s="173"/>
      <c r="N2" s="173"/>
      <c r="O2" s="174"/>
      <c r="P2" s="174"/>
      <c r="T2" s="397"/>
    </row>
    <row r="3" spans="1:20" s="172" customFormat="1" ht="15.75">
      <c r="A3" s="45"/>
      <c r="B3" s="49"/>
      <c r="C3" s="49"/>
      <c r="D3" s="49"/>
      <c r="E3" s="49"/>
      <c r="F3" s="49"/>
      <c r="I3" s="175"/>
      <c r="L3" s="173"/>
      <c r="M3" s="173"/>
      <c r="N3" s="173"/>
      <c r="O3" s="174"/>
      <c r="P3" s="174"/>
      <c r="T3" s="397"/>
    </row>
    <row r="4" spans="1:20" s="172" customFormat="1" ht="15.75">
      <c r="A4" s="45"/>
      <c r="B4" s="49"/>
      <c r="C4" s="49"/>
      <c r="D4" s="49"/>
      <c r="E4" s="49"/>
      <c r="F4" s="49"/>
      <c r="I4" s="38" t="str">
        <f>Содержание!$C$5</f>
        <v>ООО "Томские электрические сети"</v>
      </c>
      <c r="L4" s="173"/>
      <c r="M4" s="173"/>
      <c r="N4" s="173"/>
      <c r="O4" s="174"/>
      <c r="P4" s="174"/>
      <c r="Q4" s="505" t="s">
        <v>203</v>
      </c>
      <c r="R4" s="506"/>
      <c r="T4" s="397"/>
    </row>
    <row r="5" spans="1:20" s="172" customFormat="1" ht="54">
      <c r="A5" s="45"/>
      <c r="B5" s="58" t="s">
        <v>108</v>
      </c>
      <c r="C5" s="262" t="e">
        <f>K5</f>
        <v>#REF!</v>
      </c>
      <c r="D5" s="58">
        <f>L5</f>
        <v>2015</v>
      </c>
      <c r="E5" s="58">
        <f>M5</f>
        <v>2016</v>
      </c>
      <c r="F5" s="58">
        <f>N5</f>
        <v>2017</v>
      </c>
      <c r="I5" s="173" t="s">
        <v>37</v>
      </c>
      <c r="K5" s="176" t="e">
        <f>#REF!</f>
        <v>#REF!</v>
      </c>
      <c r="L5" s="176">
        <f>M5-1</f>
        <v>2015</v>
      </c>
      <c r="M5" s="176">
        <f>N5-1</f>
        <v>2016</v>
      </c>
      <c r="N5" s="176">
        <f>Содержание!I5</f>
        <v>2017</v>
      </c>
      <c r="O5" s="174"/>
      <c r="P5" s="174"/>
      <c r="Q5" s="363" t="s">
        <v>166</v>
      </c>
      <c r="R5" s="577" t="s">
        <v>457</v>
      </c>
      <c r="T5" s="397"/>
    </row>
    <row r="6" spans="1:20" s="64" customFormat="1" ht="5.25">
      <c r="A6" s="45"/>
      <c r="B6" s="202"/>
      <c r="C6" s="263"/>
      <c r="D6" s="202"/>
      <c r="E6" s="202"/>
      <c r="F6" s="202"/>
      <c r="L6" s="45"/>
      <c r="M6" s="45"/>
      <c r="N6" s="45"/>
      <c r="T6" s="396"/>
    </row>
    <row r="7" spans="3:14" ht="15.75">
      <c r="C7" s="264"/>
      <c r="H7" s="502" t="s">
        <v>167</v>
      </c>
      <c r="I7" s="503"/>
      <c r="J7" s="504"/>
      <c r="K7" s="178">
        <f>MAX('Форма.1.1'!E54:E65)</f>
        <v>0</v>
      </c>
      <c r="L7" s="178">
        <f>MAX('Форма.1.1'!E38:E49)</f>
        <v>0</v>
      </c>
      <c r="M7" s="178">
        <f>MAX('Форма.1.1'!E22:E33)</f>
        <v>0</v>
      </c>
      <c r="N7" s="178">
        <f>MAX('Форма.1.1'!E70:E81)</f>
        <v>669</v>
      </c>
    </row>
    <row r="8" spans="3:14" ht="15.75">
      <c r="C8" s="264"/>
      <c r="H8" s="501" t="s">
        <v>56</v>
      </c>
      <c r="I8" s="501"/>
      <c r="J8" s="501"/>
      <c r="K8" s="178">
        <f>SUM('Форма.1.1'!D54:D65)</f>
        <v>0</v>
      </c>
      <c r="L8" s="178">
        <f>SUM('Форма.1.1'!D38:D49)</f>
        <v>0</v>
      </c>
      <c r="M8" s="178">
        <f>SUM('Форма.1.1'!D22:D33)</f>
        <v>0</v>
      </c>
      <c r="N8" s="178">
        <f>SUM('Форма.1.1'!D70:D81)</f>
        <v>106.04</v>
      </c>
    </row>
    <row r="9" spans="2:18" ht="33" customHeight="1">
      <c r="B9" s="13">
        <f>COUNTIF(D9:F9,"&lt;&gt;0")</f>
        <v>1</v>
      </c>
      <c r="C9" s="265">
        <f>COUNTIF(K9,"&lt;&gt;0")</f>
        <v>0</v>
      </c>
      <c r="D9" s="13">
        <f>COUNTIF(L9,"&lt;&gt;0")</f>
        <v>0</v>
      </c>
      <c r="E9" s="13">
        <f>COUNTIF(M9,"&lt;&gt;0")</f>
        <v>0</v>
      </c>
      <c r="F9" s="13">
        <f>COUNTIF(N9,"&lt;&gt;0")</f>
        <v>1</v>
      </c>
      <c r="H9" s="501" t="s">
        <v>168</v>
      </c>
      <c r="I9" s="501"/>
      <c r="J9" s="501"/>
      <c r="K9" s="210">
        <f>IF(K7=0,0,K8/K7)</f>
        <v>0</v>
      </c>
      <c r="L9" s="395">
        <f>IF(L7=0,0,L8/L7)</f>
        <v>0</v>
      </c>
      <c r="M9" s="395">
        <f>IF(M7=0,0,M8/M7)</f>
        <v>0</v>
      </c>
      <c r="N9" s="395">
        <f>IF(N7=0,0,N8/N7)</f>
        <v>0.1585052316890882</v>
      </c>
      <c r="Q9" s="401">
        <f>N9</f>
        <v>0.1585052316890882</v>
      </c>
      <c r="R9" s="225">
        <f>Q9</f>
        <v>0.1585052316890882</v>
      </c>
    </row>
    <row r="10" spans="1:20" ht="24" customHeight="1">
      <c r="A10" s="14"/>
      <c r="B10" s="13"/>
      <c r="C10" s="13"/>
      <c r="D10" s="13"/>
      <c r="E10" s="13"/>
      <c r="F10" s="13"/>
      <c r="K10" s="49"/>
      <c r="L10" s="49"/>
      <c r="M10" s="49"/>
      <c r="N10" s="49"/>
      <c r="O10" s="179"/>
      <c r="P10" s="179"/>
      <c r="Q10" s="226"/>
      <c r="R10" s="54"/>
      <c r="S10" s="54"/>
      <c r="T10" s="396"/>
    </row>
    <row r="11" spans="2:20" ht="31.5">
      <c r="B11" s="13"/>
      <c r="C11" s="13"/>
      <c r="D11" s="13"/>
      <c r="E11" s="13"/>
      <c r="F11" s="13"/>
      <c r="G11" s="90"/>
      <c r="H11" s="507" t="str">
        <f>Содержание!$C$26</f>
        <v>Директор</v>
      </c>
      <c r="I11" s="507"/>
      <c r="J11" s="8" t="str">
        <f>Содержание!G26</f>
        <v>Осипов Д.С.</v>
      </c>
      <c r="K11" s="8"/>
      <c r="L11" s="8" t="s">
        <v>88</v>
      </c>
      <c r="M11" s="8"/>
      <c r="N11" s="8"/>
      <c r="O11" s="179"/>
      <c r="P11" s="179"/>
      <c r="T11" s="398" t="s">
        <v>370</v>
      </c>
    </row>
    <row r="12" spans="7:16" ht="15.75">
      <c r="G12" s="90"/>
      <c r="H12" s="43" t="s">
        <v>8</v>
      </c>
      <c r="I12" s="43"/>
      <c r="J12" s="43" t="s">
        <v>20</v>
      </c>
      <c r="K12" s="43"/>
      <c r="L12" s="43" t="s">
        <v>9</v>
      </c>
      <c r="M12" s="43"/>
      <c r="N12" s="43"/>
      <c r="O12" s="179"/>
      <c r="P12" s="179"/>
    </row>
    <row r="13" spans="1:20" s="64" customFormat="1" ht="10.5">
      <c r="A13" s="45"/>
      <c r="B13" s="13"/>
      <c r="C13" s="13"/>
      <c r="D13" s="13"/>
      <c r="E13" s="13"/>
      <c r="F13" s="13"/>
      <c r="G13" s="90"/>
      <c r="H13" s="90"/>
      <c r="I13" s="90"/>
      <c r="J13" s="90"/>
      <c r="K13" s="90"/>
      <c r="L13" s="113"/>
      <c r="M13" s="113"/>
      <c r="N13" s="113"/>
      <c r="O13" s="179"/>
      <c r="P13" s="179"/>
      <c r="T13" s="396"/>
    </row>
    <row r="14" spans="2:6" ht="15.75">
      <c r="B14" s="13"/>
      <c r="C14" s="13"/>
      <c r="D14" s="13"/>
      <c r="E14" s="13"/>
      <c r="F14" s="13"/>
    </row>
    <row r="15" spans="2:6" ht="15.75">
      <c r="B15" s="13"/>
      <c r="C15" s="13"/>
      <c r="D15" s="13"/>
      <c r="E15" s="13"/>
      <c r="F15" s="13"/>
    </row>
    <row r="16" spans="2:6" ht="15.75">
      <c r="B16" s="13"/>
      <c r="C16" s="13"/>
      <c r="D16" s="13"/>
      <c r="E16" s="13"/>
      <c r="F16" s="13"/>
    </row>
    <row r="17" spans="2:6" ht="15.75">
      <c r="B17" s="45"/>
      <c r="C17" s="45"/>
      <c r="D17" s="45"/>
      <c r="E17" s="45"/>
      <c r="F17" s="45"/>
    </row>
    <row r="20" spans="2:6" ht="15.75">
      <c r="B20" s="13"/>
      <c r="C20" s="13"/>
      <c r="D20" s="13"/>
      <c r="E20" s="13"/>
      <c r="F20" s="13"/>
    </row>
    <row r="21" spans="2:6" ht="15.75">
      <c r="B21" s="45"/>
      <c r="C21" s="45"/>
      <c r="D21" s="45"/>
      <c r="E21" s="45"/>
      <c r="F21" s="45"/>
    </row>
    <row r="22" spans="2:6" ht="15.75">
      <c r="B22" s="13"/>
      <c r="C22" s="13"/>
      <c r="D22" s="13"/>
      <c r="E22" s="13"/>
      <c r="F22" s="13"/>
    </row>
    <row r="23" spans="2:6" ht="15.75">
      <c r="B23" s="45"/>
      <c r="C23" s="45"/>
      <c r="D23" s="45"/>
      <c r="E23" s="45"/>
      <c r="F23" s="45"/>
    </row>
    <row r="24" spans="2:6" ht="15.75">
      <c r="B24" s="13"/>
      <c r="C24" s="13"/>
      <c r="D24" s="13"/>
      <c r="E24" s="13"/>
      <c r="F24" s="13"/>
    </row>
    <row r="25" spans="2:6" ht="15.75">
      <c r="B25" s="45"/>
      <c r="C25" s="45"/>
      <c r="D25" s="45"/>
      <c r="E25" s="45"/>
      <c r="F25" s="45"/>
    </row>
    <row r="26" spans="2:6" ht="15.75">
      <c r="B26" s="13"/>
      <c r="C26" s="13"/>
      <c r="D26" s="13"/>
      <c r="E26" s="13"/>
      <c r="F26" s="13"/>
    </row>
    <row r="27" spans="2:6" ht="15.75">
      <c r="B27" s="45"/>
      <c r="C27" s="45"/>
      <c r="D27" s="45"/>
      <c r="E27" s="45"/>
      <c r="F27" s="45"/>
    </row>
    <row r="28" spans="2:6" ht="15.75">
      <c r="B28" s="13"/>
      <c r="C28" s="13"/>
      <c r="D28" s="13"/>
      <c r="E28" s="13"/>
      <c r="F28" s="13"/>
    </row>
    <row r="29" spans="2:6" ht="15.75">
      <c r="B29" s="45"/>
      <c r="C29" s="45"/>
      <c r="D29" s="45"/>
      <c r="E29" s="45"/>
      <c r="F29" s="45"/>
    </row>
    <row r="31" spans="2:6" ht="15.75">
      <c r="B31" s="13"/>
      <c r="C31" s="13"/>
      <c r="D31" s="13"/>
      <c r="E31" s="13"/>
      <c r="F31" s="13"/>
    </row>
    <row r="32" spans="2:6" ht="15.75">
      <c r="B32" s="45"/>
      <c r="C32" s="45"/>
      <c r="D32" s="45"/>
      <c r="E32" s="45"/>
      <c r="F32" s="45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45"/>
      <c r="C37" s="45"/>
      <c r="D37" s="45"/>
      <c r="E37" s="45"/>
      <c r="F37" s="45"/>
    </row>
    <row r="40" spans="2:6" ht="15.75">
      <c r="B40" s="45"/>
      <c r="C40" s="45"/>
      <c r="D40" s="45"/>
      <c r="E40" s="45"/>
      <c r="F40" s="45"/>
    </row>
    <row r="41" spans="1:6" ht="15.75">
      <c r="A41" s="65"/>
      <c r="B41" s="66"/>
      <c r="C41" s="66"/>
      <c r="D41" s="66"/>
      <c r="E41" s="66"/>
      <c r="F41" s="66"/>
    </row>
    <row r="42" spans="1:6" ht="15.75">
      <c r="A42" s="65"/>
      <c r="B42" s="66"/>
      <c r="C42" s="66"/>
      <c r="D42" s="66"/>
      <c r="E42" s="66"/>
      <c r="F42" s="66"/>
    </row>
    <row r="43" spans="1:6" ht="15.75">
      <c r="A43" s="72"/>
      <c r="B43" s="72"/>
      <c r="C43" s="72"/>
      <c r="D43" s="72"/>
      <c r="E43" s="72"/>
      <c r="F43" s="72"/>
    </row>
  </sheetData>
  <sheetProtection password="CA0A" sheet="1" formatCells="0" formatColumns="0" formatRows="0"/>
  <mergeCells count="5">
    <mergeCell ref="H8:J8"/>
    <mergeCell ref="H9:J9"/>
    <mergeCell ref="H7:J7"/>
    <mergeCell ref="Q4:R4"/>
    <mergeCell ref="H11:I11"/>
  </mergeCells>
  <printOptions horizontalCentered="1"/>
  <pageMargins left="0.7874015748031497" right="0.7874015748031497" top="1.4" bottom="0.46" header="1.26" footer="0.31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PageLayoutView="0" workbookViewId="0" topLeftCell="A1">
      <selection activeCell="I8" sqref="I8"/>
    </sheetView>
  </sheetViews>
  <sheetFormatPr defaultColWidth="9.00390625" defaultRowHeight="15.75" outlineLevelCol="1"/>
  <cols>
    <col min="1" max="1" width="0.875" style="31" customWidth="1"/>
    <col min="2" max="2" width="31.50390625" style="31" customWidth="1"/>
    <col min="3" max="3" width="28.50390625" style="31" customWidth="1"/>
    <col min="4" max="4" width="23.875" style="31" customWidth="1"/>
    <col min="5" max="7" width="8.625" style="31" customWidth="1"/>
    <col min="8" max="8" width="8.625" style="170" customWidth="1"/>
    <col min="9" max="9" width="8.625" style="171" customWidth="1"/>
    <col min="10" max="10" width="7.25390625" style="31" hidden="1" customWidth="1" outlineLevel="1"/>
    <col min="11" max="11" width="10.625" style="31" customWidth="1" collapsed="1"/>
    <col min="12" max="16384" width="9.00390625" style="31" customWidth="1"/>
  </cols>
  <sheetData>
    <row r="1" spans="1:9" s="27" customFormat="1" ht="5.25">
      <c r="A1" s="144"/>
      <c r="B1" s="144"/>
      <c r="C1" s="144"/>
      <c r="D1" s="144"/>
      <c r="E1" s="144"/>
      <c r="F1" s="144"/>
      <c r="G1" s="144"/>
      <c r="H1" s="145"/>
      <c r="I1" s="145"/>
    </row>
    <row r="2" spans="1:9" ht="36" customHeight="1">
      <c r="A2" s="145"/>
      <c r="B2" s="514" t="s">
        <v>209</v>
      </c>
      <c r="C2" s="514"/>
      <c r="D2" s="514"/>
      <c r="E2" s="514"/>
      <c r="F2" s="514"/>
      <c r="G2" s="514"/>
      <c r="H2" s="514"/>
      <c r="I2" s="514"/>
    </row>
    <row r="3" spans="1:9" ht="15.75">
      <c r="A3" s="145"/>
      <c r="B3" s="209"/>
      <c r="C3" s="146"/>
      <c r="D3" s="147"/>
      <c r="E3" s="32" t="str">
        <f>Содержание!$C$5</f>
        <v>ООО "Томские электрические сети"</v>
      </c>
      <c r="F3" s="147"/>
      <c r="G3" s="147"/>
      <c r="H3" s="145"/>
      <c r="I3" s="147"/>
    </row>
    <row r="4" spans="1:9" ht="15.75">
      <c r="A4" s="145"/>
      <c r="B4" s="148"/>
      <c r="C4" s="148"/>
      <c r="D4" s="148"/>
      <c r="E4" s="149" t="s">
        <v>37</v>
      </c>
      <c r="F4" s="150"/>
      <c r="G4" s="150"/>
      <c r="H4" s="151"/>
      <c r="I4" s="148"/>
    </row>
    <row r="5" spans="1:9" s="27" customFormat="1" ht="5.25">
      <c r="A5" s="145"/>
      <c r="B5" s="145"/>
      <c r="C5" s="145"/>
      <c r="D5" s="145"/>
      <c r="E5" s="145"/>
      <c r="F5" s="145"/>
      <c r="G5" s="145"/>
      <c r="H5" s="145"/>
      <c r="I5" s="145"/>
    </row>
    <row r="6" spans="1:11" s="154" customFormat="1" ht="58.5" customHeight="1">
      <c r="A6" s="152"/>
      <c r="B6" s="153" t="s">
        <v>57</v>
      </c>
      <c r="C6" s="153" t="s">
        <v>107</v>
      </c>
      <c r="D6" s="153" t="s">
        <v>375</v>
      </c>
      <c r="E6" s="515"/>
      <c r="F6" s="515"/>
      <c r="G6" s="515"/>
      <c r="H6" s="515"/>
      <c r="I6" s="515"/>
      <c r="J6" s="215"/>
      <c r="K6" s="212"/>
    </row>
    <row r="7" spans="1:10" s="154" customFormat="1" ht="16.5" customHeight="1">
      <c r="A7" s="152"/>
      <c r="B7" s="511" t="s">
        <v>58</v>
      </c>
      <c r="C7" s="508" t="str">
        <f>'[1]Форма.1.3'!C7</f>
        <v>Использование современной системы автоматики, своевременное проведение профилактических ремонтов оборудования, оперативность при устранении аварийных ситуаций.</v>
      </c>
      <c r="D7" s="508" t="str">
        <f>'[1]Форма.1.3'!D7</f>
        <v>Замена устаревшего и изношенного оборудования - должна повысить надежность электроснабжения потребителей. Современная РЗА должна обеспечить надлежащий уровень защиты оборудования и обеспечить оперативною подачу электроэнергии при аварийных отключениях.</v>
      </c>
      <c r="E7" s="402">
        <v>2019</v>
      </c>
      <c r="F7" s="402">
        <v>2020</v>
      </c>
      <c r="G7" s="402">
        <v>2021</v>
      </c>
      <c r="H7" s="578">
        <v>2022</v>
      </c>
      <c r="I7" s="578">
        <v>2023</v>
      </c>
      <c r="J7" s="153">
        <f>H7+2</f>
        <v>2024</v>
      </c>
    </row>
    <row r="8" spans="1:10" s="154" customFormat="1" ht="16.5" customHeight="1">
      <c r="A8" s="152"/>
      <c r="B8" s="512"/>
      <c r="C8" s="509"/>
      <c r="D8" s="509"/>
      <c r="E8" s="402" t="s">
        <v>426</v>
      </c>
      <c r="F8" s="402" t="s">
        <v>426</v>
      </c>
      <c r="G8" s="402" t="s">
        <v>426</v>
      </c>
      <c r="H8" s="402" t="s">
        <v>426</v>
      </c>
      <c r="I8" s="402" t="s">
        <v>426</v>
      </c>
      <c r="J8" s="153"/>
    </row>
    <row r="9" spans="1:10" s="154" customFormat="1" ht="15" customHeight="1">
      <c r="A9" s="152"/>
      <c r="B9" s="512"/>
      <c r="C9" s="509"/>
      <c r="D9" s="509"/>
      <c r="E9" s="402" t="s">
        <v>202</v>
      </c>
      <c r="F9" s="402" t="s">
        <v>202</v>
      </c>
      <c r="G9" s="402" t="s">
        <v>202</v>
      </c>
      <c r="H9" s="402" t="s">
        <v>202</v>
      </c>
      <c r="I9" s="402" t="s">
        <v>202</v>
      </c>
      <c r="J9" s="155" t="s">
        <v>17</v>
      </c>
    </row>
    <row r="10" spans="1:10" s="154" customFormat="1" ht="83.25" customHeight="1">
      <c r="A10" s="152"/>
      <c r="B10" s="513"/>
      <c r="C10" s="510"/>
      <c r="D10" s="510"/>
      <c r="E10" s="403">
        <f>'Форма.1.2'!R9</f>
        <v>0.1585052316890882</v>
      </c>
      <c r="F10" s="403">
        <f>E10</f>
        <v>0.1585052316890882</v>
      </c>
      <c r="G10" s="403">
        <f>F10</f>
        <v>0.1585052316890882</v>
      </c>
      <c r="H10" s="579">
        <f>G10</f>
        <v>0.1585052316890882</v>
      </c>
      <c r="I10" s="579">
        <f>G10</f>
        <v>0.1585052316890882</v>
      </c>
      <c r="J10" s="156">
        <f>I10*0.985</f>
        <v>0.15612765321375188</v>
      </c>
    </row>
    <row r="11" spans="1:10" s="154" customFormat="1" ht="16.5" customHeight="1">
      <c r="A11" s="152"/>
      <c r="B11" s="511" t="s">
        <v>181</v>
      </c>
      <c r="C11" s="508" t="str">
        <f>'[1]Форма.1.3'!C11</f>
        <v>Оптимизация сроков работы с потребителями по технологическим присоединениям.</v>
      </c>
      <c r="D11" s="508" t="str">
        <f>'[1]Форма.1.3'!D11</f>
        <v>Уменьшение cрока рассмотрения заявок позволит более оперативно подключать заявителей.</v>
      </c>
      <c r="E11" s="153">
        <f aca="true" t="shared" si="0" ref="E11:J12">E7</f>
        <v>2019</v>
      </c>
      <c r="F11" s="153">
        <f t="shared" si="0"/>
        <v>2020</v>
      </c>
      <c r="G11" s="153">
        <f t="shared" si="0"/>
        <v>2021</v>
      </c>
      <c r="H11" s="580">
        <f t="shared" si="0"/>
        <v>2022</v>
      </c>
      <c r="I11" s="580">
        <f t="shared" si="0"/>
        <v>2023</v>
      </c>
      <c r="J11" s="153">
        <f t="shared" si="0"/>
        <v>2024</v>
      </c>
    </row>
    <row r="12" spans="1:10" s="154" customFormat="1" ht="16.5" customHeight="1">
      <c r="A12" s="152"/>
      <c r="B12" s="512"/>
      <c r="C12" s="509"/>
      <c r="D12" s="509"/>
      <c r="E12" s="153" t="str">
        <f t="shared" si="0"/>
        <v>год</v>
      </c>
      <c r="F12" s="153" t="str">
        <f t="shared" si="0"/>
        <v>год</v>
      </c>
      <c r="G12" s="153" t="str">
        <f t="shared" si="0"/>
        <v>год</v>
      </c>
      <c r="H12" s="580" t="str">
        <f t="shared" si="0"/>
        <v>год</v>
      </c>
      <c r="I12" s="580" t="str">
        <f t="shared" si="0"/>
        <v>год</v>
      </c>
      <c r="J12" s="155" t="s">
        <v>17</v>
      </c>
    </row>
    <row r="13" spans="1:10" s="154" customFormat="1" ht="33" customHeight="1">
      <c r="A13" s="152"/>
      <c r="B13" s="513"/>
      <c r="C13" s="509"/>
      <c r="D13" s="509"/>
      <c r="E13" s="403">
        <f>'Форма.3.3'!D14</f>
        <v>1</v>
      </c>
      <c r="F13" s="403">
        <f>E13</f>
        <v>1</v>
      </c>
      <c r="G13" s="403">
        <f>F13</f>
        <v>1</v>
      </c>
      <c r="H13" s="579">
        <f>G13</f>
        <v>1</v>
      </c>
      <c r="I13" s="579">
        <f>E17</f>
        <v>0.8975</v>
      </c>
      <c r="J13" s="156">
        <f>(I13*0.985)</f>
        <v>0.8840374999999999</v>
      </c>
    </row>
    <row r="14" spans="1:10" s="154" customFormat="1" ht="16.5" customHeight="1">
      <c r="A14" s="152"/>
      <c r="B14" s="511" t="s">
        <v>59</v>
      </c>
      <c r="C14" s="508" t="str">
        <f>'[1]Форма.1.3'!C14</f>
        <v>Измерение параметров, распределение нагрузок по фазам, своевременное проведение профилактических ремонтов оборудования, переключение анцапф на трансформаторах.  провидение обучения с сотрудниками по работе с потребителями</v>
      </c>
      <c r="D14" s="508" t="str">
        <f>'[1]Форма.1.3'!D14</f>
        <v>Данные мероприятия должны повысить качество обслуживания потребителей</v>
      </c>
      <c r="E14" s="153">
        <f aca="true" t="shared" si="1" ref="E14:J16">E7</f>
        <v>2019</v>
      </c>
      <c r="F14" s="153">
        <f t="shared" si="1"/>
        <v>2020</v>
      </c>
      <c r="G14" s="153">
        <f t="shared" si="1"/>
        <v>2021</v>
      </c>
      <c r="H14" s="580">
        <f t="shared" si="1"/>
        <v>2022</v>
      </c>
      <c r="I14" s="580">
        <f t="shared" si="1"/>
        <v>2023</v>
      </c>
      <c r="J14" s="153">
        <f t="shared" si="1"/>
        <v>2024</v>
      </c>
    </row>
    <row r="15" spans="1:10" s="154" customFormat="1" ht="16.5" customHeight="1">
      <c r="A15" s="152"/>
      <c r="B15" s="512"/>
      <c r="C15" s="509"/>
      <c r="D15" s="509"/>
      <c r="E15" s="153" t="str">
        <f t="shared" si="1"/>
        <v>год</v>
      </c>
      <c r="F15" s="153" t="str">
        <f t="shared" si="1"/>
        <v>год</v>
      </c>
      <c r="G15" s="153" t="str">
        <f t="shared" si="1"/>
        <v>год</v>
      </c>
      <c r="H15" s="580" t="str">
        <f t="shared" si="1"/>
        <v>год</v>
      </c>
      <c r="I15" s="580" t="str">
        <f t="shared" si="1"/>
        <v>год</v>
      </c>
      <c r="J15" s="153"/>
    </row>
    <row r="16" spans="1:10" s="154" customFormat="1" ht="16.5" customHeight="1">
      <c r="A16" s="152"/>
      <c r="B16" s="512"/>
      <c r="C16" s="509"/>
      <c r="D16" s="509"/>
      <c r="E16" s="153" t="str">
        <f t="shared" si="1"/>
        <v>план</v>
      </c>
      <c r="F16" s="153" t="str">
        <f t="shared" si="1"/>
        <v>план</v>
      </c>
      <c r="G16" s="153" t="str">
        <f t="shared" si="1"/>
        <v>план</v>
      </c>
      <c r="H16" s="580" t="str">
        <f t="shared" si="1"/>
        <v>план</v>
      </c>
      <c r="I16" s="580" t="str">
        <f t="shared" si="1"/>
        <v>план</v>
      </c>
      <c r="J16" s="155" t="s">
        <v>17</v>
      </c>
    </row>
    <row r="17" spans="1:10" s="154" customFormat="1" ht="54.75" customHeight="1">
      <c r="A17" s="152"/>
      <c r="B17" s="513"/>
      <c r="C17" s="510"/>
      <c r="D17" s="510"/>
      <c r="E17" s="403">
        <f>'Форма.2.4'!D62</f>
        <v>0.8975</v>
      </c>
      <c r="F17" s="403">
        <f>'Форма.2.4'!E62</f>
        <v>0.8975</v>
      </c>
      <c r="G17" s="403">
        <f>'Форма.2.4'!F62</f>
        <v>0.8975</v>
      </c>
      <c r="H17" s="403">
        <f>'Форма.2.4'!G62</f>
        <v>0.8975</v>
      </c>
      <c r="I17" s="403">
        <f>'Форма.2.4'!H62</f>
        <v>0.8975</v>
      </c>
      <c r="J17" s="156">
        <f>'Форма.2.4'!AI62</f>
        <v>0.8975</v>
      </c>
    </row>
    <row r="18" spans="1:9" ht="15.75">
      <c r="A18" s="145"/>
      <c r="B18" s="157" t="s">
        <v>61</v>
      </c>
      <c r="C18" s="157"/>
      <c r="D18" s="157"/>
      <c r="E18" s="157"/>
      <c r="F18" s="157"/>
      <c r="G18" s="157"/>
      <c r="H18" s="158"/>
      <c r="I18" s="159"/>
    </row>
    <row r="19" spans="1:9" s="27" customFormat="1" ht="12">
      <c r="A19" s="145"/>
      <c r="B19" s="160" t="s">
        <v>62</v>
      </c>
      <c r="C19" s="145"/>
      <c r="D19" s="145"/>
      <c r="E19" s="145"/>
      <c r="F19" s="145"/>
      <c r="G19" s="145"/>
      <c r="H19" s="145"/>
      <c r="I19" s="145"/>
    </row>
    <row r="20" spans="1:9" s="162" customFormat="1" ht="15.75">
      <c r="A20" s="145"/>
      <c r="B20" s="161"/>
      <c r="C20" s="11" t="str">
        <f>Содержание!$C$26</f>
        <v>Директор</v>
      </c>
      <c r="D20" s="8" t="str">
        <f>Содержание!$G$26</f>
        <v>Осипов Д.С.</v>
      </c>
      <c r="E20" s="163" t="s">
        <v>50</v>
      </c>
      <c r="H20" s="164"/>
      <c r="I20" s="165"/>
    </row>
    <row r="21" spans="1:9" s="162" customFormat="1" ht="15.75">
      <c r="A21" s="145"/>
      <c r="B21" s="150"/>
      <c r="C21" s="33" t="s">
        <v>8</v>
      </c>
      <c r="D21" s="33" t="s">
        <v>20</v>
      </c>
      <c r="E21" s="33" t="s">
        <v>9</v>
      </c>
      <c r="H21" s="164"/>
      <c r="I21" s="165"/>
    </row>
    <row r="22" spans="1:9" s="167" customFormat="1" ht="5.25">
      <c r="A22" s="145"/>
      <c r="B22" s="145"/>
      <c r="C22" s="145"/>
      <c r="D22" s="166"/>
      <c r="E22" s="168"/>
      <c r="H22" s="164"/>
      <c r="I22" s="164"/>
    </row>
    <row r="23" spans="1:4" ht="15.75">
      <c r="A23" s="145"/>
      <c r="B23" s="169" t="s">
        <v>60</v>
      </c>
      <c r="C23" s="147"/>
      <c r="D23" s="147"/>
    </row>
    <row r="24" spans="1:9" s="27" customFormat="1" ht="5.25">
      <c r="A24" s="144"/>
      <c r="B24" s="144"/>
      <c r="C24" s="144"/>
      <c r="D24" s="144"/>
      <c r="E24" s="144"/>
      <c r="F24" s="144"/>
      <c r="G24" s="144"/>
      <c r="H24" s="145"/>
      <c r="I24" s="145"/>
    </row>
  </sheetData>
  <sheetProtection password="CA0A" sheet="1" formatCells="0" formatColumns="0" formatRows="0"/>
  <mergeCells count="11">
    <mergeCell ref="B2:I2"/>
    <mergeCell ref="E6:I6"/>
    <mergeCell ref="D14:D17"/>
    <mergeCell ref="C14:C17"/>
    <mergeCell ref="B14:B17"/>
    <mergeCell ref="D7:D10"/>
    <mergeCell ref="C7:C10"/>
    <mergeCell ref="B7:B10"/>
    <mergeCell ref="B11:B13"/>
    <mergeCell ref="C11:C13"/>
    <mergeCell ref="D11:D13"/>
  </mergeCells>
  <printOptions horizontalCentered="1"/>
  <pageMargins left="0.2" right="0.19" top="0.75" bottom="0.25" header="0.67" footer="0.17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zoomScalePageLayoutView="0" workbookViewId="0" topLeftCell="A1">
      <pane xSplit="7" ySplit="7" topLeftCell="K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P23" sqref="P23"/>
    </sheetView>
  </sheetViews>
  <sheetFormatPr defaultColWidth="9.00390625" defaultRowHeight="15.75" outlineLevelCol="1"/>
  <cols>
    <col min="1" max="1" width="0.875" style="45" customWidth="1"/>
    <col min="2" max="6" width="3.50390625" style="49" hidden="1" customWidth="1" outlineLevel="1"/>
    <col min="7" max="7" width="60.00390625" style="73" customWidth="1" collapsed="1"/>
    <col min="8" max="10" width="7.625" style="51" hidden="1" customWidth="1" outlineLevel="1"/>
    <col min="11" max="11" width="8.25390625" style="51" bestFit="1" customWidth="1" collapsed="1"/>
    <col min="12" max="12" width="11.125" style="51" bestFit="1" customWidth="1"/>
    <col min="13" max="13" width="7.125" style="357" customWidth="1"/>
    <col min="14" max="14" width="9.75390625" style="52" customWidth="1"/>
    <col min="15" max="15" width="9.50390625" style="51" bestFit="1" customWidth="1"/>
    <col min="16" max="16" width="8.875" style="51" customWidth="1"/>
    <col min="17" max="17" width="7.125" style="53" customWidth="1"/>
    <col min="18" max="18" width="8.00390625" style="54" customWidth="1"/>
    <col min="19" max="16384" width="9.00390625" style="54" customWidth="1"/>
  </cols>
  <sheetData>
    <row r="1" spans="1:14" s="45" customFormat="1" ht="5.25">
      <c r="A1" s="44"/>
      <c r="G1" s="46"/>
      <c r="M1" s="358"/>
      <c r="N1" s="47"/>
    </row>
    <row r="2" spans="1:7" ht="23.25" customHeight="1">
      <c r="A2" s="48"/>
      <c r="F2" s="50"/>
      <c r="G2" s="51" t="s">
        <v>75</v>
      </c>
    </row>
    <row r="3" ht="15.75">
      <c r="G3" s="12" t="str">
        <f>Содержание!$C$5</f>
        <v>ООО "Томские электрические сети"</v>
      </c>
    </row>
    <row r="4" spans="7:13" ht="15.75">
      <c r="G4" s="55" t="s">
        <v>37</v>
      </c>
      <c r="K4" s="52"/>
      <c r="L4" s="52"/>
      <c r="M4" s="359"/>
    </row>
    <row r="5" spans="2:16" ht="18.75" customHeight="1">
      <c r="B5" s="56"/>
      <c r="G5" s="517" t="s">
        <v>81</v>
      </c>
      <c r="H5" s="404">
        <f>'[1]Форма.2.1'!H5</f>
        <v>2012</v>
      </c>
      <c r="I5" s="404">
        <f>'[1]Форма.2.1'!I5</f>
        <v>2013</v>
      </c>
      <c r="J5" s="404">
        <f>'[1]Форма.2.1'!J5</f>
        <v>2014</v>
      </c>
      <c r="K5" s="404">
        <v>2017</v>
      </c>
      <c r="L5" s="516" t="s">
        <v>4</v>
      </c>
      <c r="M5" s="516"/>
      <c r="N5" s="519" t="s">
        <v>109</v>
      </c>
      <c r="O5" s="516" t="s">
        <v>71</v>
      </c>
      <c r="P5" s="516" t="s">
        <v>110</v>
      </c>
    </row>
    <row r="6" spans="2:16" ht="30">
      <c r="B6" s="58" t="s">
        <v>108</v>
      </c>
      <c r="C6" s="58">
        <f>H5</f>
        <v>2012</v>
      </c>
      <c r="D6" s="58">
        <f>I5</f>
        <v>2013</v>
      </c>
      <c r="E6" s="58">
        <f>J5</f>
        <v>2014</v>
      </c>
      <c r="F6" s="58">
        <f>K5</f>
        <v>2017</v>
      </c>
      <c r="G6" s="518"/>
      <c r="H6" s="405" t="s">
        <v>111</v>
      </c>
      <c r="I6" s="405" t="s">
        <v>111</v>
      </c>
      <c r="J6" s="405" t="s">
        <v>111</v>
      </c>
      <c r="K6" s="405" t="s">
        <v>111</v>
      </c>
      <c r="L6" s="407" t="s">
        <v>166</v>
      </c>
      <c r="M6" s="408" t="s">
        <v>119</v>
      </c>
      <c r="N6" s="519"/>
      <c r="O6" s="516"/>
      <c r="P6" s="516"/>
    </row>
    <row r="7" spans="7:16" ht="15" customHeight="1">
      <c r="G7" s="57">
        <v>1</v>
      </c>
      <c r="H7" s="405" t="s">
        <v>115</v>
      </c>
      <c r="I7" s="405" t="s">
        <v>116</v>
      </c>
      <c r="J7" s="405" t="s">
        <v>117</v>
      </c>
      <c r="K7" s="405" t="s">
        <v>118</v>
      </c>
      <c r="L7" s="405">
        <v>2</v>
      </c>
      <c r="M7" s="408">
        <v>3</v>
      </c>
      <c r="N7" s="409">
        <v>4</v>
      </c>
      <c r="O7" s="405">
        <v>5</v>
      </c>
      <c r="P7" s="405">
        <v>6</v>
      </c>
    </row>
    <row r="8" spans="7:16" ht="45">
      <c r="G8" s="59" t="s">
        <v>63</v>
      </c>
      <c r="H8" s="405" t="s">
        <v>5</v>
      </c>
      <c r="I8" s="405" t="s">
        <v>5</v>
      </c>
      <c r="J8" s="405" t="s">
        <v>5</v>
      </c>
      <c r="K8" s="405" t="s">
        <v>5</v>
      </c>
      <c r="L8" s="405" t="s">
        <v>5</v>
      </c>
      <c r="M8" s="408" t="s">
        <v>5</v>
      </c>
      <c r="N8" s="410"/>
      <c r="O8" s="405" t="s">
        <v>103</v>
      </c>
      <c r="P8" s="581">
        <f>AVERAGE(P9:P10)</f>
        <v>2</v>
      </c>
    </row>
    <row r="9" spans="1:16" ht="45">
      <c r="A9" s="14"/>
      <c r="B9" s="13">
        <f>COUNTIF(D9:F9,"&lt;&gt;0")</f>
        <v>1</v>
      </c>
      <c r="C9" s="13">
        <f aca="true" t="shared" si="0" ref="C9:F18">COUNTIF(H9,"&lt;&gt;0")</f>
        <v>0</v>
      </c>
      <c r="D9" s="13">
        <f t="shared" si="0"/>
        <v>0</v>
      </c>
      <c r="E9" s="13">
        <f t="shared" si="0"/>
        <v>0</v>
      </c>
      <c r="F9" s="13">
        <f t="shared" si="0"/>
        <v>1</v>
      </c>
      <c r="G9" s="59" t="s">
        <v>120</v>
      </c>
      <c r="H9" s="412">
        <f>'[1]Форма.2.1'!H9</f>
        <v>0</v>
      </c>
      <c r="I9" s="412">
        <f>'[1]Форма.2.1'!I9</f>
        <v>0</v>
      </c>
      <c r="J9" s="412">
        <f>'[1]Форма.2.1'!J9</f>
        <v>0</v>
      </c>
      <c r="K9" s="410">
        <v>20</v>
      </c>
      <c r="L9" s="410">
        <v>20</v>
      </c>
      <c r="M9" s="414">
        <v>20</v>
      </c>
      <c r="N9" s="410">
        <f>K9/M9*100</f>
        <v>100</v>
      </c>
      <c r="O9" s="405" t="s">
        <v>83</v>
      </c>
      <c r="P9" s="410">
        <v>2</v>
      </c>
    </row>
    <row r="10" spans="2:16" ht="45">
      <c r="B10" s="13">
        <f aca="true" t="shared" si="1" ref="B10:B25">COUNTIF(D10:F10,"&lt;&gt;0")</f>
        <v>3</v>
      </c>
      <c r="C10" s="13">
        <f t="shared" si="0"/>
        <v>1</v>
      </c>
      <c r="D10" s="13">
        <f t="shared" si="0"/>
        <v>1</v>
      </c>
      <c r="E10" s="13">
        <f t="shared" si="0"/>
        <v>1</v>
      </c>
      <c r="F10" s="13">
        <f t="shared" si="0"/>
        <v>1</v>
      </c>
      <c r="G10" s="59" t="s">
        <v>72</v>
      </c>
      <c r="H10" s="405" t="s">
        <v>5</v>
      </c>
      <c r="I10" s="405" t="s">
        <v>5</v>
      </c>
      <c r="J10" s="405" t="s">
        <v>5</v>
      </c>
      <c r="K10" s="405" t="s">
        <v>5</v>
      </c>
      <c r="L10" s="405" t="s">
        <v>5</v>
      </c>
      <c r="M10" s="408" t="s">
        <v>5</v>
      </c>
      <c r="N10" s="410"/>
      <c r="O10" s="405" t="s">
        <v>83</v>
      </c>
      <c r="P10" s="407">
        <v>2</v>
      </c>
    </row>
    <row r="11" spans="2:16" ht="30">
      <c r="B11" s="13">
        <f t="shared" si="1"/>
        <v>1</v>
      </c>
      <c r="C11" s="13">
        <f t="shared" si="0"/>
        <v>0</v>
      </c>
      <c r="D11" s="13">
        <f t="shared" si="0"/>
        <v>0</v>
      </c>
      <c r="E11" s="13">
        <f t="shared" si="0"/>
        <v>0</v>
      </c>
      <c r="F11" s="13">
        <f t="shared" si="0"/>
        <v>1</v>
      </c>
      <c r="G11" s="59" t="s">
        <v>64</v>
      </c>
      <c r="H11" s="412">
        <f>'[1]Форма.2.1'!H11</f>
        <v>0</v>
      </c>
      <c r="I11" s="412">
        <f>'[1]Форма.2.1'!I11</f>
        <v>0</v>
      </c>
      <c r="J11" s="412">
        <f>'[1]Форма.2.1'!J11</f>
        <v>0</v>
      </c>
      <c r="K11" s="410">
        <v>1</v>
      </c>
      <c r="L11" s="410">
        <f aca="true" t="shared" si="2" ref="L11:M13">K11</f>
        <v>1</v>
      </c>
      <c r="M11" s="413">
        <f>L11</f>
        <v>1</v>
      </c>
      <c r="N11" s="410">
        <f aca="true" t="shared" si="3" ref="N10:N25">K11/M11*100</f>
        <v>100</v>
      </c>
      <c r="O11" s="405" t="s">
        <v>104</v>
      </c>
      <c r="P11" s="410">
        <v>2</v>
      </c>
    </row>
    <row r="12" spans="2:16" ht="45">
      <c r="B12" s="13">
        <f t="shared" si="1"/>
        <v>1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1</v>
      </c>
      <c r="G12" s="227" t="s">
        <v>269</v>
      </c>
      <c r="H12" s="412">
        <f>'[1]Форма.2.1'!H12</f>
        <v>0</v>
      </c>
      <c r="I12" s="412">
        <f>'[1]Форма.2.1'!I12</f>
        <v>0</v>
      </c>
      <c r="J12" s="412">
        <f>'[1]Форма.2.1'!J12</f>
        <v>0</v>
      </c>
      <c r="K12" s="410">
        <v>1</v>
      </c>
      <c r="L12" s="410">
        <f t="shared" si="2"/>
        <v>1</v>
      </c>
      <c r="M12" s="413">
        <f t="shared" si="2"/>
        <v>1</v>
      </c>
      <c r="N12" s="410">
        <f t="shared" si="3"/>
        <v>100</v>
      </c>
      <c r="O12" s="405" t="s">
        <v>104</v>
      </c>
      <c r="P12" s="410">
        <v>2</v>
      </c>
    </row>
    <row r="13" spans="2:16" ht="30">
      <c r="B13" s="13">
        <f t="shared" si="1"/>
        <v>1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1</v>
      </c>
      <c r="G13" s="59" t="s">
        <v>65</v>
      </c>
      <c r="H13" s="412">
        <f>'[1]Форма.2.1'!H13</f>
        <v>0</v>
      </c>
      <c r="I13" s="412">
        <f>'[1]Форма.2.1'!I13</f>
        <v>0</v>
      </c>
      <c r="J13" s="412">
        <f>'[1]Форма.2.1'!J13</f>
        <v>0</v>
      </c>
      <c r="K13" s="410">
        <v>2</v>
      </c>
      <c r="L13" s="410">
        <f t="shared" si="2"/>
        <v>2</v>
      </c>
      <c r="M13" s="413">
        <f t="shared" si="2"/>
        <v>2</v>
      </c>
      <c r="N13" s="410">
        <f t="shared" si="3"/>
        <v>100</v>
      </c>
      <c r="O13" s="405" t="s">
        <v>104</v>
      </c>
      <c r="P13" s="410">
        <v>2</v>
      </c>
    </row>
    <row r="14" spans="2:16" ht="45">
      <c r="B14" s="13">
        <f t="shared" si="1"/>
        <v>1</v>
      </c>
      <c r="C14" s="13">
        <f t="shared" si="0"/>
        <v>0</v>
      </c>
      <c r="D14" s="13">
        <f t="shared" si="0"/>
        <v>0</v>
      </c>
      <c r="E14" s="13">
        <f t="shared" si="0"/>
        <v>0</v>
      </c>
      <c r="F14" s="13">
        <f t="shared" si="0"/>
        <v>1</v>
      </c>
      <c r="G14" s="59" t="s">
        <v>66</v>
      </c>
      <c r="H14" s="412">
        <f>'[1]Форма.2.1'!H14</f>
        <v>0</v>
      </c>
      <c r="I14" s="412">
        <f>'[1]Форма.2.1'!I14</f>
        <v>0</v>
      </c>
      <c r="J14" s="412">
        <f>'[1]Форма.2.1'!J14</f>
        <v>0</v>
      </c>
      <c r="K14" s="410">
        <v>7</v>
      </c>
      <c r="L14" s="410">
        <v>7</v>
      </c>
      <c r="M14" s="413">
        <v>7</v>
      </c>
      <c r="N14" s="410">
        <f t="shared" si="3"/>
        <v>100</v>
      </c>
      <c r="O14" s="405" t="s">
        <v>104</v>
      </c>
      <c r="P14" s="410">
        <v>2</v>
      </c>
    </row>
    <row r="15" spans="7:16" ht="45">
      <c r="G15" s="59" t="s">
        <v>67</v>
      </c>
      <c r="H15" s="405" t="s">
        <v>5</v>
      </c>
      <c r="I15" s="405" t="s">
        <v>5</v>
      </c>
      <c r="J15" s="405" t="s">
        <v>5</v>
      </c>
      <c r="K15" s="405" t="s">
        <v>5</v>
      </c>
      <c r="L15" s="405" t="s">
        <v>5</v>
      </c>
      <c r="M15" s="408" t="s">
        <v>5</v>
      </c>
      <c r="N15" s="410"/>
      <c r="O15" s="405" t="s">
        <v>103</v>
      </c>
      <c r="P15" s="581">
        <f>AVERAGE(P16:P18)</f>
        <v>2</v>
      </c>
    </row>
    <row r="16" spans="2:16" ht="30">
      <c r="B16" s="13">
        <f t="shared" si="1"/>
        <v>1</v>
      </c>
      <c r="C16" s="13">
        <f t="shared" si="0"/>
        <v>0</v>
      </c>
      <c r="D16" s="13">
        <f t="shared" si="0"/>
        <v>0</v>
      </c>
      <c r="E16" s="13">
        <f t="shared" si="0"/>
        <v>0</v>
      </c>
      <c r="F16" s="13">
        <f t="shared" si="0"/>
        <v>1</v>
      </c>
      <c r="G16" s="59" t="s">
        <v>112</v>
      </c>
      <c r="H16" s="412">
        <f>'[1]Форма.2.1'!H16</f>
        <v>0</v>
      </c>
      <c r="I16" s="412">
        <f>'[1]Форма.2.1'!I16</f>
        <v>0</v>
      </c>
      <c r="J16" s="412">
        <f>'[1]Форма.2.1'!J16</f>
        <v>0</v>
      </c>
      <c r="K16" s="410">
        <v>1</v>
      </c>
      <c r="L16" s="410">
        <f aca="true" t="shared" si="4" ref="L16:M20">K16</f>
        <v>1</v>
      </c>
      <c r="M16" s="414">
        <f t="shared" si="4"/>
        <v>1</v>
      </c>
      <c r="N16" s="410">
        <f t="shared" si="3"/>
        <v>100</v>
      </c>
      <c r="O16" s="405" t="s">
        <v>83</v>
      </c>
      <c r="P16" s="410">
        <v>2</v>
      </c>
    </row>
    <row r="17" spans="2:16" ht="45">
      <c r="B17" s="13">
        <f t="shared" si="1"/>
        <v>0</v>
      </c>
      <c r="C17" s="13">
        <f t="shared" si="0"/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59" t="s">
        <v>105</v>
      </c>
      <c r="H17" s="412">
        <f>'[1]Форма.2.1'!H17</f>
        <v>0</v>
      </c>
      <c r="I17" s="412">
        <f>'[1]Форма.2.1'!I17</f>
        <v>0</v>
      </c>
      <c r="J17" s="412">
        <f>'[1]Форма.2.1'!J17</f>
        <v>0</v>
      </c>
      <c r="K17" s="410">
        <f>'[1]Форма.2.1'!K17</f>
        <v>0</v>
      </c>
      <c r="L17" s="410">
        <f t="shared" si="4"/>
        <v>0</v>
      </c>
      <c r="M17" s="414">
        <f t="shared" si="4"/>
        <v>0</v>
      </c>
      <c r="N17" s="410">
        <v>100</v>
      </c>
      <c r="O17" s="405" t="s">
        <v>83</v>
      </c>
      <c r="P17" s="410">
        <v>2</v>
      </c>
    </row>
    <row r="18" spans="2:16" ht="45">
      <c r="B18" s="13">
        <f t="shared" si="1"/>
        <v>0</v>
      </c>
      <c r="C18" s="13">
        <f t="shared" si="0"/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59" t="s">
        <v>106</v>
      </c>
      <c r="H18" s="412">
        <f>'[1]Форма.2.1'!H18</f>
        <v>0</v>
      </c>
      <c r="I18" s="412">
        <f>'[1]Форма.2.1'!I18</f>
        <v>0</v>
      </c>
      <c r="J18" s="412">
        <f>'[1]Форма.2.1'!J18</f>
        <v>0</v>
      </c>
      <c r="K18" s="410">
        <f>'[1]Форма.2.1'!K18</f>
        <v>0</v>
      </c>
      <c r="L18" s="410">
        <f t="shared" si="4"/>
        <v>0</v>
      </c>
      <c r="M18" s="414">
        <f t="shared" si="4"/>
        <v>0</v>
      </c>
      <c r="N18" s="410">
        <v>100</v>
      </c>
      <c r="O18" s="405" t="s">
        <v>83</v>
      </c>
      <c r="P18" s="410">
        <v>2</v>
      </c>
    </row>
    <row r="19" spans="2:16" ht="45">
      <c r="B19" s="13">
        <f t="shared" si="1"/>
        <v>1</v>
      </c>
      <c r="C19" s="13">
        <f aca="true" t="shared" si="5" ref="C19:F20">COUNTIF(H19,"&lt;&gt;0")</f>
        <v>0</v>
      </c>
      <c r="D19" s="13">
        <f t="shared" si="5"/>
        <v>0</v>
      </c>
      <c r="E19" s="13">
        <f t="shared" si="5"/>
        <v>0</v>
      </c>
      <c r="F19" s="13">
        <f t="shared" si="5"/>
        <v>1</v>
      </c>
      <c r="G19" s="59" t="s">
        <v>114</v>
      </c>
      <c r="H19" s="412">
        <f>'[1]Форма.2.1'!H19</f>
        <v>0</v>
      </c>
      <c r="I19" s="412">
        <f>'[1]Форма.2.1'!I19</f>
        <v>0</v>
      </c>
      <c r="J19" s="412">
        <f>'[1]Форма.2.1'!J19</f>
        <v>0</v>
      </c>
      <c r="K19" s="410">
        <f>'[1]Форма.2.1'!K19</f>
        <v>1</v>
      </c>
      <c r="L19" s="410">
        <f t="shared" si="4"/>
        <v>1</v>
      </c>
      <c r="M19" s="414">
        <f t="shared" si="4"/>
        <v>1</v>
      </c>
      <c r="N19" s="410">
        <f t="shared" si="3"/>
        <v>100</v>
      </c>
      <c r="O19" s="405" t="s">
        <v>83</v>
      </c>
      <c r="P19" s="411">
        <v>2</v>
      </c>
    </row>
    <row r="20" spans="2:16" ht="60">
      <c r="B20" s="13">
        <f t="shared" si="1"/>
        <v>1</v>
      </c>
      <c r="C20" s="13">
        <f t="shared" si="5"/>
        <v>0</v>
      </c>
      <c r="D20" s="13">
        <f t="shared" si="5"/>
        <v>0</v>
      </c>
      <c r="E20" s="13">
        <f t="shared" si="5"/>
        <v>0</v>
      </c>
      <c r="F20" s="13">
        <f t="shared" si="5"/>
        <v>1</v>
      </c>
      <c r="G20" s="59" t="s">
        <v>113</v>
      </c>
      <c r="H20" s="412">
        <f>'[1]Форма.2.1'!H20</f>
        <v>0</v>
      </c>
      <c r="I20" s="412">
        <f>'[1]Форма.2.1'!I20</f>
        <v>0</v>
      </c>
      <c r="J20" s="412">
        <f>'[1]Форма.2.1'!J20</f>
        <v>0</v>
      </c>
      <c r="K20" s="410">
        <f>'[1]Форма.2.1'!K20</f>
        <v>1</v>
      </c>
      <c r="L20" s="410">
        <f t="shared" si="4"/>
        <v>1</v>
      </c>
      <c r="M20" s="414">
        <f t="shared" si="4"/>
        <v>1</v>
      </c>
      <c r="N20" s="410">
        <f t="shared" si="3"/>
        <v>100</v>
      </c>
      <c r="O20" s="405" t="s">
        <v>83</v>
      </c>
      <c r="P20" s="581">
        <v>2</v>
      </c>
    </row>
    <row r="21" spans="7:16" ht="45">
      <c r="G21" s="59" t="s">
        <v>68</v>
      </c>
      <c r="H21" s="405"/>
      <c r="I21" s="405"/>
      <c r="J21" s="405"/>
      <c r="K21" s="405"/>
      <c r="L21" s="405"/>
      <c r="M21" s="415"/>
      <c r="N21" s="206"/>
      <c r="O21" s="405" t="s">
        <v>82</v>
      </c>
      <c r="P21" s="581">
        <f>AVERAGE(P22)</f>
        <v>2</v>
      </c>
    </row>
    <row r="22" spans="2:16" ht="60">
      <c r="B22" s="13">
        <f t="shared" si="1"/>
        <v>1</v>
      </c>
      <c r="C22" s="13">
        <f>COUNTIF(H22,"&lt;&gt;0")</f>
        <v>0</v>
      </c>
      <c r="D22" s="13">
        <f>COUNTIF(I22,"&lt;&gt;0")</f>
        <v>0</v>
      </c>
      <c r="E22" s="13">
        <f>COUNTIF(J22,"&lt;&gt;0")</f>
        <v>0</v>
      </c>
      <c r="F22" s="13">
        <f>COUNTIF(K22,"&lt;&gt;0")</f>
        <v>1</v>
      </c>
      <c r="G22" s="59" t="s">
        <v>69</v>
      </c>
      <c r="H22" s="412">
        <f>'[1]Форма.2.1'!H22</f>
        <v>0</v>
      </c>
      <c r="I22" s="412">
        <f>'[1]Форма.2.1'!I22</f>
        <v>0</v>
      </c>
      <c r="J22" s="412">
        <f>'[1]Форма.2.1'!J22</f>
        <v>0</v>
      </c>
      <c r="K22" s="412">
        <v>7</v>
      </c>
      <c r="L22" s="412">
        <v>7</v>
      </c>
      <c r="M22" s="414">
        <v>7</v>
      </c>
      <c r="N22" s="410">
        <f t="shared" si="3"/>
        <v>100</v>
      </c>
      <c r="O22" s="416" t="s">
        <v>369</v>
      </c>
      <c r="P22" s="410">
        <v>2</v>
      </c>
    </row>
    <row r="23" spans="7:16" ht="45">
      <c r="G23" s="59" t="s">
        <v>70</v>
      </c>
      <c r="H23" s="405" t="s">
        <v>5</v>
      </c>
      <c r="I23" s="405" t="s">
        <v>5</v>
      </c>
      <c r="J23" s="405" t="s">
        <v>5</v>
      </c>
      <c r="K23" s="405" t="s">
        <v>5</v>
      </c>
      <c r="L23" s="405" t="s">
        <v>5</v>
      </c>
      <c r="M23" s="415"/>
      <c r="N23" s="206"/>
      <c r="O23" s="405" t="s">
        <v>103</v>
      </c>
      <c r="P23" s="581">
        <f>AVERAGE(P24:P25)</f>
        <v>2</v>
      </c>
    </row>
    <row r="24" spans="2:16" ht="45">
      <c r="B24" s="13">
        <f t="shared" si="1"/>
        <v>0</v>
      </c>
      <c r="C24" s="13">
        <f aca="true" t="shared" si="6" ref="C24:F25">COUNTIF(H24,"&lt;&gt;0")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59" t="s">
        <v>76</v>
      </c>
      <c r="H24" s="412">
        <f>'[1]Форма.2.1'!H24</f>
        <v>0</v>
      </c>
      <c r="I24" s="412">
        <f>'[1]Форма.2.1'!I24</f>
        <v>0</v>
      </c>
      <c r="J24" s="412">
        <f>'[1]Форма.2.1'!J24</f>
        <v>0</v>
      </c>
      <c r="K24" s="412">
        <v>0</v>
      </c>
      <c r="L24" s="412">
        <f>K24</f>
        <v>0</v>
      </c>
      <c r="M24" s="414">
        <f>L24</f>
        <v>0</v>
      </c>
      <c r="N24" s="410">
        <v>100</v>
      </c>
      <c r="O24" s="405" t="s">
        <v>82</v>
      </c>
      <c r="P24" s="410">
        <v>2</v>
      </c>
    </row>
    <row r="25" spans="2:16" ht="75">
      <c r="B25" s="13">
        <f t="shared" si="1"/>
        <v>0</v>
      </c>
      <c r="C25" s="13">
        <f t="shared" si="6"/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59" t="s">
        <v>77</v>
      </c>
      <c r="H25" s="412">
        <f>'[1]Форма.2.1'!H25</f>
        <v>0</v>
      </c>
      <c r="I25" s="412">
        <f>'[1]Форма.2.1'!I25</f>
        <v>0</v>
      </c>
      <c r="J25" s="412">
        <f>'[1]Форма.2.1'!J25</f>
        <v>0</v>
      </c>
      <c r="K25" s="412">
        <v>0</v>
      </c>
      <c r="L25" s="412">
        <f>K25</f>
        <v>0</v>
      </c>
      <c r="M25" s="414">
        <f>L25</f>
        <v>0</v>
      </c>
      <c r="N25" s="410">
        <v>100</v>
      </c>
      <c r="O25" s="405" t="s">
        <v>82</v>
      </c>
      <c r="P25" s="410">
        <v>2</v>
      </c>
    </row>
    <row r="26" spans="7:16" s="45" customFormat="1" ht="5.25">
      <c r="G26" s="61"/>
      <c r="H26" s="62"/>
      <c r="I26" s="62"/>
      <c r="J26" s="62"/>
      <c r="K26" s="62"/>
      <c r="L26" s="62"/>
      <c r="M26" s="360"/>
      <c r="N26" s="63"/>
      <c r="O26" s="62" t="s">
        <v>74</v>
      </c>
      <c r="P26" s="62"/>
    </row>
    <row r="27" spans="7:16" ht="16.5">
      <c r="G27" s="59" t="s">
        <v>122</v>
      </c>
      <c r="H27" s="57" t="s">
        <v>5</v>
      </c>
      <c r="I27" s="57" t="s">
        <v>5</v>
      </c>
      <c r="J27" s="57" t="s">
        <v>5</v>
      </c>
      <c r="K27" s="57" t="s">
        <v>5</v>
      </c>
      <c r="L27" s="57" t="s">
        <v>5</v>
      </c>
      <c r="M27" s="345" t="s">
        <v>5</v>
      </c>
      <c r="N27" s="60"/>
      <c r="O27" s="57" t="s">
        <v>103</v>
      </c>
      <c r="P27" s="297">
        <f>AVERAGE(P23,P21,P20,P19,P15,P8)</f>
        <v>2</v>
      </c>
    </row>
    <row r="28" spans="7:16" ht="5.25" customHeight="1">
      <c r="G28" s="193"/>
      <c r="H28" s="194"/>
      <c r="I28" s="194"/>
      <c r="J28" s="194"/>
      <c r="K28" s="194"/>
      <c r="L28" s="194"/>
      <c r="M28" s="361"/>
      <c r="N28" s="195"/>
      <c r="O28" s="194"/>
      <c r="P28" s="194"/>
    </row>
    <row r="29" spans="7:14" s="45" customFormat="1" ht="5.25">
      <c r="G29" s="64"/>
      <c r="M29" s="358"/>
      <c r="N29" s="47"/>
    </row>
    <row r="30" spans="1:18" s="70" customFormat="1" ht="12.75" customHeight="1">
      <c r="A30" s="65"/>
      <c r="B30" s="66"/>
      <c r="C30" s="66"/>
      <c r="D30" s="66"/>
      <c r="E30" s="66"/>
      <c r="F30" s="66"/>
      <c r="H30" s="11" t="str">
        <f>Содержание!$C$26</f>
        <v>Директор</v>
      </c>
      <c r="I30" s="191"/>
      <c r="J30" s="67"/>
      <c r="K30" s="12" t="str">
        <f>Содержание!$G$26</f>
        <v>Осипов Д.С.</v>
      </c>
      <c r="L30" s="68"/>
      <c r="M30" s="354" t="s">
        <v>73</v>
      </c>
      <c r="N30" s="298"/>
      <c r="P30" s="194"/>
      <c r="R30" s="71"/>
    </row>
    <row r="31" spans="1:18" s="70" customFormat="1" ht="15.75">
      <c r="A31" s="65"/>
      <c r="B31" s="66"/>
      <c r="C31" s="66"/>
      <c r="D31" s="66"/>
      <c r="E31" s="66"/>
      <c r="F31" s="66"/>
      <c r="H31" s="8" t="s">
        <v>8</v>
      </c>
      <c r="I31" s="11"/>
      <c r="J31" s="55"/>
      <c r="K31" s="12" t="s">
        <v>20</v>
      </c>
      <c r="L31" s="68"/>
      <c r="M31" s="354" t="s">
        <v>9</v>
      </c>
      <c r="N31" s="298"/>
      <c r="P31" s="194"/>
      <c r="R31" s="71"/>
    </row>
    <row r="32" spans="13:16" s="72" customFormat="1" ht="3" customHeight="1">
      <c r="M32" s="362"/>
      <c r="N32" s="47"/>
      <c r="P32" s="45"/>
    </row>
  </sheetData>
  <sheetProtection password="CA0A" sheet="1" formatCells="0" formatColumns="0" formatRows="0"/>
  <mergeCells count="5">
    <mergeCell ref="P5:P6"/>
    <mergeCell ref="L5:M5"/>
    <mergeCell ref="G5:G6"/>
    <mergeCell ref="O5:O6"/>
    <mergeCell ref="N5:N6"/>
  </mergeCells>
  <printOptions horizontalCentered="1"/>
  <pageMargins left="0.15748031496062992" right="0.15748031496062992" top="0.2755905511811024" bottom="0.26" header="0.15748031496062992" footer="0.16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R28"/>
  <sheetViews>
    <sheetView zoomScale="85" zoomScaleNormal="85" zoomScalePageLayoutView="0" workbookViewId="0" topLeftCell="A1">
      <pane xSplit="7" ySplit="7" topLeftCell="H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R17" sqref="R17"/>
    </sheetView>
  </sheetViews>
  <sheetFormatPr defaultColWidth="9.00390625" defaultRowHeight="15.75" outlineLevelCol="1"/>
  <cols>
    <col min="1" max="1" width="0.875" style="53" customWidth="1"/>
    <col min="2" max="6" width="3.50390625" style="49" hidden="1" customWidth="1" outlineLevel="1"/>
    <col min="7" max="7" width="57.75390625" style="51" customWidth="1" collapsed="1"/>
    <col min="8" max="10" width="7.625" style="51" hidden="1" customWidth="1" outlineLevel="1"/>
    <col min="11" max="11" width="7.625" style="51" bestFit="1" customWidth="1" collapsed="1"/>
    <col min="12" max="12" width="11.125" style="51" bestFit="1" customWidth="1"/>
    <col min="13" max="13" width="7.00390625" style="357" customWidth="1"/>
    <col min="14" max="14" width="13.25390625" style="51" customWidth="1"/>
    <col min="15" max="15" width="9.50390625" style="51" bestFit="1" customWidth="1"/>
    <col min="16" max="16" width="11.50390625" style="51" customWidth="1"/>
    <col min="17" max="17" width="0.875" style="53" customWidth="1"/>
    <col min="18" max="16384" width="9.00390625" style="54" customWidth="1"/>
  </cols>
  <sheetData>
    <row r="1" s="53" customFormat="1" ht="5.25"/>
    <row r="2" s="74" customFormat="1" ht="15.75">
      <c r="G2" s="75" t="s">
        <v>80</v>
      </c>
    </row>
    <row r="3" spans="1:7" s="78" customFormat="1" ht="15.75">
      <c r="A3" s="74"/>
      <c r="B3" s="74"/>
      <c r="C3" s="74"/>
      <c r="D3" s="74"/>
      <c r="E3" s="74"/>
      <c r="F3" s="76"/>
      <c r="G3" s="77" t="str">
        <f>Содержание!$C$5</f>
        <v>ООО "Томские электрические сети"</v>
      </c>
    </row>
    <row r="4" spans="1:17" s="80" customFormat="1" ht="15">
      <c r="A4" s="53"/>
      <c r="B4" s="49"/>
      <c r="C4" s="49"/>
      <c r="D4" s="49"/>
      <c r="E4" s="49"/>
      <c r="F4" s="49"/>
      <c r="G4" s="79" t="s">
        <v>37</v>
      </c>
      <c r="H4" s="51"/>
      <c r="I4" s="51"/>
      <c r="J4" s="51"/>
      <c r="K4" s="52"/>
      <c r="L4" s="52"/>
      <c r="Q4" s="53"/>
    </row>
    <row r="5" spans="2:16" ht="15.75" customHeight="1">
      <c r="B5" s="56"/>
      <c r="G5" s="517" t="s">
        <v>81</v>
      </c>
      <c r="H5" s="404">
        <f>I5-1</f>
        <v>2014</v>
      </c>
      <c r="I5" s="404">
        <f>J5-1</f>
        <v>2015</v>
      </c>
      <c r="J5" s="404">
        <f>K5-1</f>
        <v>2016</v>
      </c>
      <c r="K5" s="404">
        <f>Содержание!I5</f>
        <v>2017</v>
      </c>
      <c r="L5" s="516" t="s">
        <v>4</v>
      </c>
      <c r="M5" s="516"/>
      <c r="N5" s="519" t="s">
        <v>109</v>
      </c>
      <c r="O5" s="516" t="s">
        <v>71</v>
      </c>
      <c r="P5" s="516" t="s">
        <v>110</v>
      </c>
    </row>
    <row r="6" spans="2:16" ht="30">
      <c r="B6" s="58" t="s">
        <v>108</v>
      </c>
      <c r="C6" s="58">
        <f>H5</f>
        <v>2014</v>
      </c>
      <c r="D6" s="58">
        <f>I5</f>
        <v>2015</v>
      </c>
      <c r="E6" s="58">
        <f>J5</f>
        <v>2016</v>
      </c>
      <c r="F6" s="58">
        <f>K5</f>
        <v>2017</v>
      </c>
      <c r="G6" s="518"/>
      <c r="H6" s="405" t="s">
        <v>111</v>
      </c>
      <c r="I6" s="405" t="s">
        <v>111</v>
      </c>
      <c r="J6" s="405" t="s">
        <v>111</v>
      </c>
      <c r="K6" s="405" t="s">
        <v>111</v>
      </c>
      <c r="L6" s="407" t="s">
        <v>166</v>
      </c>
      <c r="M6" s="408" t="s">
        <v>119</v>
      </c>
      <c r="N6" s="519"/>
      <c r="O6" s="516"/>
      <c r="P6" s="516"/>
    </row>
    <row r="7" spans="7:16" ht="15.75">
      <c r="G7" s="57">
        <v>1</v>
      </c>
      <c r="H7" s="405" t="s">
        <v>115</v>
      </c>
      <c r="I7" s="405" t="s">
        <v>116</v>
      </c>
      <c r="J7" s="405" t="s">
        <v>117</v>
      </c>
      <c r="K7" s="405" t="s">
        <v>118</v>
      </c>
      <c r="L7" s="405">
        <v>2</v>
      </c>
      <c r="M7" s="408">
        <v>3</v>
      </c>
      <c r="N7" s="409">
        <v>4</v>
      </c>
      <c r="O7" s="405">
        <v>5</v>
      </c>
      <c r="P7" s="405">
        <v>6</v>
      </c>
    </row>
    <row r="8" spans="2:16" ht="30">
      <c r="B8" s="15"/>
      <c r="C8" s="15"/>
      <c r="D8" s="15"/>
      <c r="E8" s="15"/>
      <c r="F8" s="15"/>
      <c r="G8" s="227" t="s">
        <v>210</v>
      </c>
      <c r="H8" s="417" t="s">
        <v>5</v>
      </c>
      <c r="I8" s="417" t="s">
        <v>5</v>
      </c>
      <c r="J8" s="405" t="s">
        <v>5</v>
      </c>
      <c r="K8" s="405" t="s">
        <v>5</v>
      </c>
      <c r="L8" s="405" t="s">
        <v>5</v>
      </c>
      <c r="M8" s="415"/>
      <c r="N8" s="206"/>
      <c r="O8" s="405" t="s">
        <v>103</v>
      </c>
      <c r="P8" s="418">
        <f>AVERAGE(P9:P13)</f>
        <v>0.5</v>
      </c>
    </row>
    <row r="9" spans="2:16" ht="60">
      <c r="B9" s="13">
        <f>COUNTIF(D9:F9,"&lt;&gt;0")</f>
        <v>1</v>
      </c>
      <c r="C9" s="13">
        <f aca="true" t="shared" si="0" ref="C9:F13">COUNTIF(H9,"&lt;&gt;0")</f>
        <v>0</v>
      </c>
      <c r="D9" s="13">
        <f t="shared" si="0"/>
        <v>0</v>
      </c>
      <c r="E9" s="13">
        <f t="shared" si="0"/>
        <v>0</v>
      </c>
      <c r="F9" s="13">
        <f t="shared" si="0"/>
        <v>1</v>
      </c>
      <c r="G9" s="227" t="s">
        <v>211</v>
      </c>
      <c r="H9" s="417">
        <f>'[1]Форма.2.2'!H9</f>
        <v>0</v>
      </c>
      <c r="I9" s="417">
        <f>'[1]Форма.2.2'!I9</f>
        <v>0</v>
      </c>
      <c r="J9" s="417">
        <f>'[1]Форма.2.2'!J9</f>
        <v>0</v>
      </c>
      <c r="K9" s="417">
        <v>1</v>
      </c>
      <c r="L9" s="417">
        <f>K9</f>
        <v>1</v>
      </c>
      <c r="M9" s="414">
        <f>L9</f>
        <v>1</v>
      </c>
      <c r="N9" s="419">
        <v>100</v>
      </c>
      <c r="O9" s="405" t="s">
        <v>82</v>
      </c>
      <c r="P9" s="409">
        <v>0.5</v>
      </c>
    </row>
    <row r="10" spans="2:16" ht="30">
      <c r="B10" s="15"/>
      <c r="C10" s="15"/>
      <c r="D10" s="15"/>
      <c r="E10" s="15"/>
      <c r="F10" s="15"/>
      <c r="G10" s="227" t="s">
        <v>212</v>
      </c>
      <c r="H10" s="417" t="s">
        <v>5</v>
      </c>
      <c r="I10" s="417" t="s">
        <v>5</v>
      </c>
      <c r="J10" s="405" t="s">
        <v>5</v>
      </c>
      <c r="K10" s="405" t="s">
        <v>5</v>
      </c>
      <c r="L10" s="405" t="s">
        <v>5</v>
      </c>
      <c r="M10" s="415"/>
      <c r="N10" s="206"/>
      <c r="O10" s="405" t="s">
        <v>82</v>
      </c>
      <c r="P10" s="418">
        <v>0.5</v>
      </c>
    </row>
    <row r="11" spans="2:16" ht="45">
      <c r="B11" s="13">
        <f>COUNTIF(D11:F11,"&lt;&gt;0")</f>
        <v>1</v>
      </c>
      <c r="C11" s="13">
        <f t="shared" si="0"/>
        <v>0</v>
      </c>
      <c r="D11" s="13">
        <f t="shared" si="0"/>
        <v>0</v>
      </c>
      <c r="E11" s="13">
        <f t="shared" si="0"/>
        <v>0</v>
      </c>
      <c r="F11" s="13">
        <f t="shared" si="0"/>
        <v>1</v>
      </c>
      <c r="G11" s="59" t="s">
        <v>78</v>
      </c>
      <c r="H11" s="417">
        <f>'[1]Форма.2.2'!H11</f>
        <v>0</v>
      </c>
      <c r="I11" s="417">
        <f>'[1]Форма.2.2'!I11</f>
        <v>0</v>
      </c>
      <c r="J11" s="417">
        <f>'[1]Форма.2.2'!J11</f>
        <v>0</v>
      </c>
      <c r="K11" s="417">
        <v>2</v>
      </c>
      <c r="L11" s="417">
        <f aca="true" t="shared" si="1" ref="L11:L20">K11</f>
        <v>2</v>
      </c>
      <c r="M11" s="414">
        <f>L11</f>
        <v>2</v>
      </c>
      <c r="N11" s="419">
        <v>100</v>
      </c>
      <c r="O11" s="405" t="s">
        <v>104</v>
      </c>
      <c r="P11" s="420">
        <v>0.5</v>
      </c>
    </row>
    <row r="12" spans="2:16" ht="15.75">
      <c r="B12" s="13">
        <f>COUNTIF(D12:F12,"&lt;&gt;0")</f>
        <v>1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1</v>
      </c>
      <c r="G12" s="59" t="s">
        <v>79</v>
      </c>
      <c r="H12" s="417">
        <f>'[1]Форма.2.2'!H12</f>
        <v>0</v>
      </c>
      <c r="I12" s="417">
        <f>'[1]Форма.2.2'!I12</f>
        <v>0</v>
      </c>
      <c r="J12" s="417">
        <f>'[1]Форма.2.2'!J12</f>
        <v>0</v>
      </c>
      <c r="K12" s="417">
        <v>2</v>
      </c>
      <c r="L12" s="417">
        <f t="shared" si="1"/>
        <v>2</v>
      </c>
      <c r="M12" s="414">
        <f>L12</f>
        <v>2</v>
      </c>
      <c r="N12" s="419">
        <v>100</v>
      </c>
      <c r="O12" s="405" t="s">
        <v>104</v>
      </c>
      <c r="P12" s="420">
        <v>0.5</v>
      </c>
    </row>
    <row r="13" spans="2:16" ht="75">
      <c r="B13" s="13">
        <f>COUNTIF(D13:F13,"&lt;&gt;0")</f>
        <v>0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227" t="s">
        <v>213</v>
      </c>
      <c r="H13" s="417">
        <f>'[1]Форма.2.2'!H13</f>
        <v>0</v>
      </c>
      <c r="I13" s="417">
        <f>'[1]Форма.2.2'!I13</f>
        <v>0</v>
      </c>
      <c r="J13" s="417">
        <f>'[1]Форма.2.2'!J13</f>
        <v>0</v>
      </c>
      <c r="K13" s="417">
        <v>0</v>
      </c>
      <c r="L13" s="417">
        <f t="shared" si="1"/>
        <v>0</v>
      </c>
      <c r="M13" s="414">
        <f>L13</f>
        <v>0</v>
      </c>
      <c r="N13" s="419">
        <v>100</v>
      </c>
      <c r="O13" s="405" t="s">
        <v>82</v>
      </c>
      <c r="P13" s="409">
        <v>0.5</v>
      </c>
    </row>
    <row r="14" spans="2:16" ht="45">
      <c r="B14" s="15"/>
      <c r="C14" s="15"/>
      <c r="D14" s="15"/>
      <c r="E14" s="15"/>
      <c r="F14" s="15"/>
      <c r="G14" s="227" t="s">
        <v>214</v>
      </c>
      <c r="H14" s="417" t="s">
        <v>5</v>
      </c>
      <c r="I14" s="417" t="s">
        <v>5</v>
      </c>
      <c r="J14" s="405"/>
      <c r="K14" s="405"/>
      <c r="L14" s="405"/>
      <c r="M14" s="415"/>
      <c r="N14" s="206"/>
      <c r="O14" s="582" t="s">
        <v>74</v>
      </c>
      <c r="P14" s="418">
        <f>AVERAGE(P15)</f>
        <v>0.5</v>
      </c>
    </row>
    <row r="15" spans="2:16" ht="45">
      <c r="B15" s="13">
        <f>COUNTIF(D15:F15,"&lt;&gt;0")</f>
        <v>1</v>
      </c>
      <c r="C15" s="13">
        <f>COUNTIF(H15,"&lt;&gt;0")</f>
        <v>0</v>
      </c>
      <c r="D15" s="13">
        <f>COUNTIF(I15,"&lt;&gt;0")</f>
        <v>0</v>
      </c>
      <c r="E15" s="13">
        <f>COUNTIF(J15,"&lt;&gt;0")</f>
        <v>0</v>
      </c>
      <c r="F15" s="13">
        <f>COUNTIF(K15,"&lt;&gt;0")</f>
        <v>1</v>
      </c>
      <c r="G15" s="227" t="s">
        <v>215</v>
      </c>
      <c r="H15" s="417">
        <f>'[1]Форма.2.2'!H15</f>
        <v>0</v>
      </c>
      <c r="I15" s="417">
        <f>'[1]Форма.2.2'!I15</f>
        <v>0</v>
      </c>
      <c r="J15" s="417">
        <f>'[1]Форма.2.2'!J15</f>
        <v>0</v>
      </c>
      <c r="K15" s="417">
        <v>2</v>
      </c>
      <c r="L15" s="417">
        <f t="shared" si="1"/>
        <v>2</v>
      </c>
      <c r="M15" s="414">
        <f>L15</f>
        <v>2</v>
      </c>
      <c r="N15" s="419">
        <v>100</v>
      </c>
      <c r="O15" s="405" t="s">
        <v>82</v>
      </c>
      <c r="P15" s="409">
        <v>0.5</v>
      </c>
    </row>
    <row r="16" spans="2:16" ht="30">
      <c r="B16" s="15"/>
      <c r="C16" s="15"/>
      <c r="D16" s="15"/>
      <c r="E16" s="15"/>
      <c r="F16" s="15"/>
      <c r="G16" s="227" t="s">
        <v>216</v>
      </c>
      <c r="H16" s="417" t="s">
        <v>5</v>
      </c>
      <c r="I16" s="417" t="s">
        <v>5</v>
      </c>
      <c r="J16" s="405" t="s">
        <v>5</v>
      </c>
      <c r="K16" s="405" t="s">
        <v>5</v>
      </c>
      <c r="L16" s="405" t="s">
        <v>5</v>
      </c>
      <c r="M16" s="415"/>
      <c r="N16" s="206"/>
      <c r="O16" s="405" t="s">
        <v>103</v>
      </c>
      <c r="P16" s="418">
        <f>AVERAGE(P17:P18)</f>
        <v>0.5</v>
      </c>
    </row>
    <row r="17" spans="2:16" ht="45">
      <c r="B17" s="13">
        <f>COUNTIF(D17:F17,"&lt;&gt;0")</f>
        <v>0</v>
      </c>
      <c r="C17" s="13">
        <f aca="true" t="shared" si="2" ref="C17:F18">COUNTIF(H17,"&lt;&gt;0")</f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227" t="s">
        <v>217</v>
      </c>
      <c r="H17" s="417">
        <f>'[1]Форма.2.2'!H17</f>
        <v>0</v>
      </c>
      <c r="I17" s="417">
        <f>'[1]Форма.2.2'!I17</f>
        <v>0</v>
      </c>
      <c r="J17" s="417">
        <f>'[1]Форма.2.2'!J17</f>
        <v>0</v>
      </c>
      <c r="K17" s="417">
        <v>0</v>
      </c>
      <c r="L17" s="417">
        <f t="shared" si="1"/>
        <v>0</v>
      </c>
      <c r="M17" s="414">
        <f>L17</f>
        <v>0</v>
      </c>
      <c r="N17" s="419">
        <v>100</v>
      </c>
      <c r="O17" s="405" t="s">
        <v>83</v>
      </c>
      <c r="P17" s="420">
        <v>0.5</v>
      </c>
    </row>
    <row r="18" spans="2:16" ht="75">
      <c r="B18" s="13">
        <f>COUNTIF(D18:F18,"&lt;&gt;0")</f>
        <v>0</v>
      </c>
      <c r="C18" s="13">
        <f t="shared" si="2"/>
        <v>0</v>
      </c>
      <c r="D18" s="13">
        <f t="shared" si="2"/>
        <v>0</v>
      </c>
      <c r="E18" s="13">
        <f t="shared" si="2"/>
        <v>0</v>
      </c>
      <c r="F18" s="13">
        <f t="shared" si="2"/>
        <v>0</v>
      </c>
      <c r="G18" s="227" t="s">
        <v>218</v>
      </c>
      <c r="H18" s="417">
        <f>'[1]Форма.2.2'!H18</f>
        <v>0</v>
      </c>
      <c r="I18" s="417">
        <f>'[1]Форма.2.2'!I18</f>
        <v>0</v>
      </c>
      <c r="J18" s="417">
        <f>'[1]Форма.2.2'!J18</f>
        <v>0</v>
      </c>
      <c r="K18" s="417">
        <v>0</v>
      </c>
      <c r="L18" s="417">
        <f t="shared" si="1"/>
        <v>0</v>
      </c>
      <c r="M18" s="414">
        <f>L18</f>
        <v>0</v>
      </c>
      <c r="N18" s="419">
        <v>100</v>
      </c>
      <c r="O18" s="405" t="s">
        <v>82</v>
      </c>
      <c r="P18" s="409">
        <v>0.5</v>
      </c>
    </row>
    <row r="19" spans="2:16" ht="30">
      <c r="B19" s="13">
        <f>COUNTIF(D19:F19,"&lt;&gt;0")</f>
        <v>3</v>
      </c>
      <c r="C19" s="13">
        <f aca="true" t="shared" si="3" ref="C19:F20">COUNTIF(H19,"&lt;&gt;0")</f>
        <v>1</v>
      </c>
      <c r="D19" s="13">
        <f t="shared" si="3"/>
        <v>1</v>
      </c>
      <c r="E19" s="13">
        <f t="shared" si="3"/>
        <v>1</v>
      </c>
      <c r="F19" s="13">
        <f t="shared" si="3"/>
        <v>1</v>
      </c>
      <c r="G19" s="227" t="s">
        <v>219</v>
      </c>
      <c r="H19" s="417"/>
      <c r="I19" s="417"/>
      <c r="J19" s="405"/>
      <c r="K19" s="405"/>
      <c r="L19" s="405"/>
      <c r="M19" s="415"/>
      <c r="N19" s="206"/>
      <c r="O19" s="405" t="s">
        <v>82</v>
      </c>
      <c r="P19" s="418">
        <v>0.2</v>
      </c>
    </row>
    <row r="20" spans="2:16" ht="60">
      <c r="B20" s="13">
        <f>COUNTIF(D20:F20,"&lt;&gt;0")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227" t="s">
        <v>220</v>
      </c>
      <c r="H20" s="417">
        <f>'[1]Форма.2.2'!H20</f>
        <v>0</v>
      </c>
      <c r="I20" s="417">
        <f>'[1]Форма.2.2'!I20</f>
        <v>0</v>
      </c>
      <c r="J20" s="417">
        <f>'[1]Форма.2.2'!J20</f>
        <v>0</v>
      </c>
      <c r="K20" s="417">
        <v>0</v>
      </c>
      <c r="L20" s="417">
        <f t="shared" si="1"/>
        <v>0</v>
      </c>
      <c r="M20" s="414">
        <f>L20</f>
        <v>0</v>
      </c>
      <c r="N20" s="419">
        <v>100</v>
      </c>
      <c r="O20" s="405" t="s">
        <v>74</v>
      </c>
      <c r="P20" s="420">
        <v>0.2</v>
      </c>
    </row>
    <row r="21" spans="2:16" s="53" customFormat="1" ht="6" thickBot="1">
      <c r="B21" s="16"/>
      <c r="C21" s="16"/>
      <c r="D21" s="16"/>
      <c r="E21" s="16"/>
      <c r="F21" s="16"/>
      <c r="G21" s="81"/>
      <c r="H21" s="258"/>
      <c r="I21" s="258"/>
      <c r="J21" s="82"/>
      <c r="K21" s="82"/>
      <c r="L21" s="82"/>
      <c r="M21" s="353"/>
      <c r="N21" s="82"/>
      <c r="O21" s="82" t="s">
        <v>74</v>
      </c>
      <c r="P21" s="301"/>
    </row>
    <row r="22" spans="2:16" ht="17.25" thickBot="1">
      <c r="B22" s="15"/>
      <c r="C22" s="15"/>
      <c r="D22" s="15"/>
      <c r="E22" s="15"/>
      <c r="F22" s="15"/>
      <c r="G22" s="227" t="s">
        <v>221</v>
      </c>
      <c r="H22" s="257" t="s">
        <v>5</v>
      </c>
      <c r="I22" s="257" t="s">
        <v>5</v>
      </c>
      <c r="J22" s="57" t="s">
        <v>5</v>
      </c>
      <c r="K22" s="57" t="s">
        <v>5</v>
      </c>
      <c r="L22" s="57" t="s">
        <v>5</v>
      </c>
      <c r="M22" s="345" t="s">
        <v>5</v>
      </c>
      <c r="N22" s="57"/>
      <c r="O22" s="300" t="s">
        <v>103</v>
      </c>
      <c r="P22" s="302">
        <f>AVERAGE(P19,P16,P14,P8)</f>
        <v>0.425</v>
      </c>
    </row>
    <row r="23" spans="7:13" s="53" customFormat="1" ht="5.25">
      <c r="G23" s="83"/>
      <c r="M23" s="352"/>
    </row>
    <row r="24" spans="7:13" s="53" customFormat="1" ht="29.25" customHeight="1">
      <c r="G24" s="83"/>
      <c r="M24" s="352"/>
    </row>
    <row r="25" spans="1:18" s="70" customFormat="1" ht="15.75">
      <c r="A25" s="84"/>
      <c r="B25" s="45"/>
      <c r="C25" s="45"/>
      <c r="D25" s="45"/>
      <c r="E25" s="45"/>
      <c r="F25" s="45"/>
      <c r="H25" s="11" t="str">
        <f>Содержание!$C$26</f>
        <v>Директор</v>
      </c>
      <c r="I25" s="11"/>
      <c r="J25" s="67"/>
      <c r="K25" s="8" t="str">
        <f>Содержание!$G$26</f>
        <v>Осипов Д.С.</v>
      </c>
      <c r="L25" s="69"/>
      <c r="M25" s="354" t="s">
        <v>73</v>
      </c>
      <c r="N25" s="298"/>
      <c r="O25" s="298"/>
      <c r="P25" s="194"/>
      <c r="Q25" s="85"/>
      <c r="R25" s="71"/>
    </row>
    <row r="26" spans="1:17" s="87" customFormat="1" ht="15">
      <c r="A26" s="84"/>
      <c r="B26" s="66"/>
      <c r="C26" s="66"/>
      <c r="D26" s="66"/>
      <c r="E26" s="66"/>
      <c r="F26" s="66"/>
      <c r="H26" s="67" t="s">
        <v>8</v>
      </c>
      <c r="I26" s="192"/>
      <c r="J26" s="86"/>
      <c r="K26" s="86" t="s">
        <v>20</v>
      </c>
      <c r="M26" s="355" t="s">
        <v>9</v>
      </c>
      <c r="N26" s="299"/>
      <c r="O26" s="299"/>
      <c r="P26" s="299"/>
      <c r="Q26" s="85"/>
    </row>
    <row r="27" spans="2:16" s="88" customFormat="1" ht="5.25">
      <c r="B27" s="84"/>
      <c r="C27" s="84"/>
      <c r="D27" s="84"/>
      <c r="E27" s="84"/>
      <c r="F27" s="84"/>
      <c r="H27" s="89"/>
      <c r="I27" s="89"/>
      <c r="J27" s="89"/>
      <c r="K27" s="89"/>
      <c r="M27" s="356"/>
      <c r="N27" s="53"/>
      <c r="O27" s="53"/>
      <c r="P27" s="53"/>
    </row>
    <row r="28" spans="2:11" ht="15.75">
      <c r="B28" s="72"/>
      <c r="C28" s="72"/>
      <c r="D28" s="72"/>
      <c r="E28" s="72"/>
      <c r="F28" s="72"/>
      <c r="H28" s="72"/>
      <c r="I28" s="72"/>
      <c r="J28" s="72"/>
      <c r="K28" s="72"/>
    </row>
  </sheetData>
  <sheetProtection password="CA0A" sheet="1" formatCells="0" formatColumns="0" formatRows="0"/>
  <mergeCells count="5">
    <mergeCell ref="P5:P6"/>
    <mergeCell ref="G5:G6"/>
    <mergeCell ref="L5:M5"/>
    <mergeCell ref="N5:N6"/>
    <mergeCell ref="O5:O6"/>
  </mergeCells>
  <printOptions horizontalCentered="1"/>
  <pageMargins left="0.1968503937007874" right="0.1968503937007874" top="0.92" bottom="0.2362204724409449" header="0.78" footer="0.15748031496062992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41"/>
  <sheetViews>
    <sheetView zoomScalePageLayoutView="0" workbookViewId="0" topLeftCell="A1">
      <pane xSplit="7" ySplit="7" topLeftCell="K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L18" sqref="L18"/>
    </sheetView>
  </sheetViews>
  <sheetFormatPr defaultColWidth="9.00390625" defaultRowHeight="15.75" outlineLevelCol="1"/>
  <cols>
    <col min="1" max="1" width="0.875" style="108" customWidth="1"/>
    <col min="2" max="6" width="3.50390625" style="49" hidden="1" customWidth="1" outlineLevel="1"/>
    <col min="7" max="7" width="64.875" style="101" customWidth="1" collapsed="1"/>
    <col min="8" max="10" width="7.625" style="51" hidden="1" customWidth="1" outlineLevel="1"/>
    <col min="11" max="11" width="8.75390625" style="51" customWidth="1" collapsed="1"/>
    <col min="12" max="12" width="11.125" style="101" bestFit="1" customWidth="1"/>
    <col min="13" max="13" width="7.125" style="351" customWidth="1"/>
    <col min="14" max="14" width="5.25390625" style="101" bestFit="1" customWidth="1"/>
    <col min="15" max="15" width="8.00390625" style="101" bestFit="1" customWidth="1"/>
    <col min="16" max="16" width="11.125" style="101" customWidth="1"/>
    <col min="17" max="17" width="0.875" style="101" customWidth="1"/>
    <col min="18" max="16384" width="9.00390625" style="101" customWidth="1"/>
  </cols>
  <sheetData>
    <row r="1" spans="1:17" s="91" customFormat="1" ht="5.25">
      <c r="A1" s="90"/>
      <c r="B1" s="45"/>
      <c r="C1" s="45"/>
      <c r="D1" s="45"/>
      <c r="E1" s="45"/>
      <c r="F1" s="45"/>
      <c r="G1" s="7"/>
      <c r="H1" s="45"/>
      <c r="I1" s="45"/>
      <c r="J1" s="45"/>
      <c r="K1" s="45"/>
      <c r="L1" s="90"/>
      <c r="M1" s="342"/>
      <c r="N1" s="90"/>
      <c r="O1" s="90"/>
      <c r="P1" s="90"/>
      <c r="Q1" s="90"/>
    </row>
    <row r="2" spans="1:17" s="96" customFormat="1" ht="15.75">
      <c r="A2" s="92"/>
      <c r="B2" s="93"/>
      <c r="C2" s="93"/>
      <c r="D2" s="93"/>
      <c r="E2" s="93"/>
      <c r="F2" s="94"/>
      <c r="G2" s="95" t="s">
        <v>23</v>
      </c>
      <c r="H2" s="93"/>
      <c r="I2" s="93"/>
      <c r="J2" s="93"/>
      <c r="K2" s="93"/>
      <c r="L2" s="92"/>
      <c r="M2" s="343"/>
      <c r="N2" s="92"/>
      <c r="O2" s="92"/>
      <c r="P2" s="92"/>
      <c r="Q2" s="92"/>
    </row>
    <row r="3" spans="1:17" s="98" customFormat="1" ht="15.75">
      <c r="A3" s="90"/>
      <c r="B3" s="49"/>
      <c r="C3" s="49"/>
      <c r="D3" s="49"/>
      <c r="E3" s="49"/>
      <c r="F3" s="49"/>
      <c r="G3" s="38" t="str">
        <f>Содержание!$C$5</f>
        <v>ООО "Томские электрические сети"</v>
      </c>
      <c r="H3" s="51"/>
      <c r="I3" s="51"/>
      <c r="J3" s="51"/>
      <c r="K3" s="51"/>
      <c r="L3" s="97"/>
      <c r="M3" s="344"/>
      <c r="N3" s="97"/>
      <c r="O3" s="97"/>
      <c r="P3" s="97"/>
      <c r="Q3" s="90"/>
    </row>
    <row r="4" spans="1:17" s="91" customFormat="1" ht="15">
      <c r="A4" s="90"/>
      <c r="B4" s="49"/>
      <c r="C4" s="49"/>
      <c r="D4" s="49"/>
      <c r="E4" s="49"/>
      <c r="F4" s="49"/>
      <c r="G4" s="99" t="s">
        <v>15</v>
      </c>
      <c r="H4" s="51"/>
      <c r="I4" s="51"/>
      <c r="J4" s="51"/>
      <c r="K4" s="52"/>
      <c r="L4" s="52"/>
      <c r="M4" s="342"/>
      <c r="N4" s="90"/>
      <c r="O4" s="90"/>
      <c r="P4" s="90"/>
      <c r="Q4" s="90"/>
    </row>
    <row r="5" spans="1:17" ht="15.75" customHeight="1">
      <c r="A5" s="90"/>
      <c r="B5" s="56"/>
      <c r="G5" s="520" t="s">
        <v>24</v>
      </c>
      <c r="H5" s="404">
        <f>I5-1</f>
        <v>2014</v>
      </c>
      <c r="I5" s="404">
        <f>J5-1</f>
        <v>2015</v>
      </c>
      <c r="J5" s="404">
        <f>K5-1</f>
        <v>2016</v>
      </c>
      <c r="K5" s="404">
        <f>Содержание!I5</f>
        <v>2017</v>
      </c>
      <c r="L5" s="516" t="s">
        <v>4</v>
      </c>
      <c r="M5" s="516"/>
      <c r="N5" s="519" t="s">
        <v>109</v>
      </c>
      <c r="O5" s="516" t="s">
        <v>71</v>
      </c>
      <c r="P5" s="516" t="s">
        <v>110</v>
      </c>
      <c r="Q5" s="90"/>
    </row>
    <row r="6" spans="1:17" ht="30">
      <c r="A6" s="90"/>
      <c r="B6" s="58" t="s">
        <v>108</v>
      </c>
      <c r="C6" s="58">
        <v>2007</v>
      </c>
      <c r="D6" s="58">
        <v>2008</v>
      </c>
      <c r="E6" s="58">
        <v>2009</v>
      </c>
      <c r="F6" s="58">
        <v>2010</v>
      </c>
      <c r="G6" s="520"/>
      <c r="H6" s="405" t="s">
        <v>111</v>
      </c>
      <c r="I6" s="405" t="s">
        <v>111</v>
      </c>
      <c r="J6" s="405" t="s">
        <v>111</v>
      </c>
      <c r="K6" s="405" t="s">
        <v>111</v>
      </c>
      <c r="L6" s="407" t="s">
        <v>166</v>
      </c>
      <c r="M6" s="408" t="s">
        <v>119</v>
      </c>
      <c r="N6" s="519"/>
      <c r="O6" s="516"/>
      <c r="P6" s="516"/>
      <c r="Q6" s="90"/>
    </row>
    <row r="7" spans="1:17" ht="15.75">
      <c r="A7" s="90"/>
      <c r="G7" s="100">
        <v>1</v>
      </c>
      <c r="H7" s="405" t="s">
        <v>115</v>
      </c>
      <c r="I7" s="405" t="s">
        <v>116</v>
      </c>
      <c r="J7" s="405" t="s">
        <v>117</v>
      </c>
      <c r="K7" s="405" t="s">
        <v>118</v>
      </c>
      <c r="L7" s="405">
        <v>2</v>
      </c>
      <c r="M7" s="408">
        <v>3</v>
      </c>
      <c r="N7" s="409">
        <v>4</v>
      </c>
      <c r="O7" s="405">
        <v>5</v>
      </c>
      <c r="P7" s="405">
        <v>6</v>
      </c>
      <c r="Q7" s="90"/>
    </row>
    <row r="8" spans="1:17" ht="47.25" customHeight="1" thickBot="1">
      <c r="A8" s="90"/>
      <c r="B8" s="13">
        <f>COUNTIF(D8:F8,"&lt;&gt;0")</f>
        <v>1</v>
      </c>
      <c r="C8" s="13">
        <f>COUNTIF(H8,"&lt;&gt;0")</f>
        <v>0</v>
      </c>
      <c r="D8" s="13">
        <f>COUNTIF(I8,"&lt;&gt;0")</f>
        <v>0</v>
      </c>
      <c r="E8" s="13">
        <f>COUNTIF(J8,"&lt;&gt;0")</f>
        <v>0</v>
      </c>
      <c r="F8" s="13">
        <f>COUNTIF(K8,"&lt;&gt;0")</f>
        <v>1</v>
      </c>
      <c r="G8" s="102" t="s">
        <v>89</v>
      </c>
      <c r="H8" s="421">
        <f>'[1]Форма.2.3'!H8</f>
        <v>0</v>
      </c>
      <c r="I8" s="421">
        <f>'[1]Форма.2.3'!I8</f>
        <v>0</v>
      </c>
      <c r="J8" s="421">
        <f>'[1]Форма.2.3'!J8</f>
        <v>0</v>
      </c>
      <c r="K8" s="421">
        <v>1</v>
      </c>
      <c r="L8" s="421">
        <f>K8</f>
        <v>1</v>
      </c>
      <c r="M8" s="422">
        <f>L8</f>
        <v>1</v>
      </c>
      <c r="N8" s="419">
        <v>100</v>
      </c>
      <c r="O8" s="423" t="s">
        <v>25</v>
      </c>
      <c r="P8" s="406">
        <v>2</v>
      </c>
      <c r="Q8" s="90"/>
    </row>
    <row r="9" spans="1:17" ht="16.5" thickBot="1">
      <c r="A9" s="90"/>
      <c r="B9" s="15"/>
      <c r="C9" s="15"/>
      <c r="D9" s="15"/>
      <c r="E9" s="15"/>
      <c r="F9" s="15"/>
      <c r="G9" s="102" t="s">
        <v>26</v>
      </c>
      <c r="H9" s="423" t="s">
        <v>5</v>
      </c>
      <c r="I9" s="423" t="s">
        <v>5</v>
      </c>
      <c r="J9" s="423" t="s">
        <v>5</v>
      </c>
      <c r="K9" s="423" t="s">
        <v>5</v>
      </c>
      <c r="L9" s="423" t="s">
        <v>5</v>
      </c>
      <c r="M9" s="424"/>
      <c r="N9" s="425"/>
      <c r="O9" s="423" t="s">
        <v>5</v>
      </c>
      <c r="P9" s="426">
        <f>AVERAGE(P10:P15)</f>
        <v>2</v>
      </c>
      <c r="Q9" s="90"/>
    </row>
    <row r="10" spans="1:17" ht="45">
      <c r="A10" s="90"/>
      <c r="B10" s="13">
        <f aca="true" t="shared" si="0" ref="B10:B15">COUNTIF(D10:F10,"&lt;&gt;0")</f>
        <v>0</v>
      </c>
      <c r="C10" s="13">
        <f aca="true" t="shared" si="1" ref="C10:C15">COUNTIF(H10,"&lt;&gt;0")</f>
        <v>0</v>
      </c>
      <c r="D10" s="13">
        <f aca="true" t="shared" si="2" ref="D10:D15">COUNTIF(I10,"&lt;&gt;0")</f>
        <v>0</v>
      </c>
      <c r="E10" s="13">
        <f aca="true" t="shared" si="3" ref="E10:E15">COUNTIF(J10,"&lt;&gt;0")</f>
        <v>0</v>
      </c>
      <c r="F10" s="13">
        <f aca="true" t="shared" si="4" ref="F10:F15">COUNTIF(K10,"&lt;&gt;0")</f>
        <v>0</v>
      </c>
      <c r="G10" s="102" t="s">
        <v>90</v>
      </c>
      <c r="H10" s="421">
        <f>'[1]Форма.2.3'!H10</f>
        <v>0</v>
      </c>
      <c r="I10" s="421">
        <f>'[1]Форма.2.3'!I10</f>
        <v>0</v>
      </c>
      <c r="J10" s="421">
        <f>'[1]Форма.2.3'!J10</f>
        <v>0</v>
      </c>
      <c r="K10" s="421">
        <v>0</v>
      </c>
      <c r="L10" s="421">
        <v>0</v>
      </c>
      <c r="M10" s="422">
        <f aca="true" t="shared" si="5" ref="M10:M15">L10</f>
        <v>0</v>
      </c>
      <c r="N10" s="419">
        <v>100</v>
      </c>
      <c r="O10" s="423" t="s">
        <v>27</v>
      </c>
      <c r="P10" s="406">
        <v>2</v>
      </c>
      <c r="Q10" s="90"/>
    </row>
    <row r="11" spans="1:17" ht="60">
      <c r="A11" s="90"/>
      <c r="B11" s="13">
        <f t="shared" si="0"/>
        <v>0</v>
      </c>
      <c r="C11" s="13">
        <f t="shared" si="1"/>
        <v>0</v>
      </c>
      <c r="D11" s="13">
        <f t="shared" si="2"/>
        <v>0</v>
      </c>
      <c r="E11" s="13">
        <f t="shared" si="3"/>
        <v>0</v>
      </c>
      <c r="F11" s="13">
        <f t="shared" si="4"/>
        <v>0</v>
      </c>
      <c r="G11" s="102" t="s">
        <v>91</v>
      </c>
      <c r="H11" s="421">
        <f>'[1]Форма.2.3'!H11</f>
        <v>0</v>
      </c>
      <c r="I11" s="421">
        <f>'[1]Форма.2.3'!I11</f>
        <v>0</v>
      </c>
      <c r="J11" s="421">
        <f>'[1]Форма.2.3'!J11</f>
        <v>0</v>
      </c>
      <c r="K11" s="421">
        <v>0</v>
      </c>
      <c r="L11" s="421">
        <v>0</v>
      </c>
      <c r="M11" s="422">
        <f t="shared" si="5"/>
        <v>0</v>
      </c>
      <c r="N11" s="419">
        <v>100</v>
      </c>
      <c r="O11" s="423" t="s">
        <v>25</v>
      </c>
      <c r="P11" s="406">
        <v>2</v>
      </c>
      <c r="Q11" s="90"/>
    </row>
    <row r="12" spans="1:17" ht="75">
      <c r="A12" s="90"/>
      <c r="B12" s="13">
        <f t="shared" si="0"/>
        <v>0</v>
      </c>
      <c r="C12" s="13">
        <f t="shared" si="1"/>
        <v>0</v>
      </c>
      <c r="D12" s="13">
        <f t="shared" si="2"/>
        <v>0</v>
      </c>
      <c r="E12" s="13">
        <f t="shared" si="3"/>
        <v>0</v>
      </c>
      <c r="F12" s="13">
        <f t="shared" si="4"/>
        <v>0</v>
      </c>
      <c r="G12" s="102" t="s">
        <v>92</v>
      </c>
      <c r="H12" s="421">
        <f>'[1]Форма.2.3'!H12</f>
        <v>0</v>
      </c>
      <c r="I12" s="421">
        <f>'[1]Форма.2.3'!I12</f>
        <v>0</v>
      </c>
      <c r="J12" s="421">
        <f>'[1]Форма.2.3'!J12</f>
        <v>0</v>
      </c>
      <c r="K12" s="421">
        <v>0</v>
      </c>
      <c r="L12" s="421">
        <f aca="true" t="shared" si="6" ref="L11:L26">K12</f>
        <v>0</v>
      </c>
      <c r="M12" s="422">
        <f t="shared" si="5"/>
        <v>0</v>
      </c>
      <c r="N12" s="419">
        <v>100</v>
      </c>
      <c r="O12" s="423" t="s">
        <v>27</v>
      </c>
      <c r="P12" s="406">
        <v>2</v>
      </c>
      <c r="Q12" s="90"/>
    </row>
    <row r="13" spans="1:17" ht="60">
      <c r="A13" s="90"/>
      <c r="B13" s="13">
        <f t="shared" si="0"/>
        <v>0</v>
      </c>
      <c r="C13" s="13">
        <f t="shared" si="1"/>
        <v>0</v>
      </c>
      <c r="D13" s="13">
        <f t="shared" si="2"/>
        <v>0</v>
      </c>
      <c r="E13" s="13">
        <f t="shared" si="3"/>
        <v>0</v>
      </c>
      <c r="F13" s="13">
        <f t="shared" si="4"/>
        <v>0</v>
      </c>
      <c r="G13" s="102" t="s">
        <v>93</v>
      </c>
      <c r="H13" s="421">
        <f>'[1]Форма.2.3'!H13</f>
        <v>0</v>
      </c>
      <c r="I13" s="421">
        <f>'[1]Форма.2.3'!I13</f>
        <v>0</v>
      </c>
      <c r="J13" s="421">
        <f>'[1]Форма.2.3'!J13</f>
        <v>0</v>
      </c>
      <c r="K13" s="421">
        <v>0</v>
      </c>
      <c r="L13" s="421">
        <f t="shared" si="6"/>
        <v>0</v>
      </c>
      <c r="M13" s="422">
        <f t="shared" si="5"/>
        <v>0</v>
      </c>
      <c r="N13" s="419">
        <v>100</v>
      </c>
      <c r="O13" s="423" t="s">
        <v>27</v>
      </c>
      <c r="P13" s="406">
        <v>2</v>
      </c>
      <c r="Q13" s="90"/>
    </row>
    <row r="14" spans="1:17" ht="45">
      <c r="A14" s="90"/>
      <c r="B14" s="13">
        <f t="shared" si="0"/>
        <v>0</v>
      </c>
      <c r="C14" s="13">
        <f t="shared" si="1"/>
        <v>0</v>
      </c>
      <c r="D14" s="13">
        <f t="shared" si="2"/>
        <v>0</v>
      </c>
      <c r="E14" s="13">
        <f t="shared" si="3"/>
        <v>0</v>
      </c>
      <c r="F14" s="13">
        <f t="shared" si="4"/>
        <v>0</v>
      </c>
      <c r="G14" s="102" t="s">
        <v>94</v>
      </c>
      <c r="H14" s="421">
        <f>'[1]Форма.2.3'!H14</f>
        <v>0</v>
      </c>
      <c r="I14" s="421">
        <f>'[1]Форма.2.3'!I14</f>
        <v>0</v>
      </c>
      <c r="J14" s="421">
        <f>'[1]Форма.2.3'!J14</f>
        <v>0</v>
      </c>
      <c r="K14" s="421">
        <v>0</v>
      </c>
      <c r="L14" s="421">
        <f t="shared" si="6"/>
        <v>0</v>
      </c>
      <c r="M14" s="422">
        <f t="shared" si="5"/>
        <v>0</v>
      </c>
      <c r="N14" s="419">
        <v>100</v>
      </c>
      <c r="O14" s="423" t="s">
        <v>25</v>
      </c>
      <c r="P14" s="406">
        <v>2</v>
      </c>
      <c r="Q14" s="90"/>
    </row>
    <row r="15" spans="1:17" ht="30.75" thickBot="1">
      <c r="A15" s="90"/>
      <c r="B15" s="13">
        <f t="shared" si="0"/>
        <v>0</v>
      </c>
      <c r="C15" s="13">
        <f t="shared" si="1"/>
        <v>0</v>
      </c>
      <c r="D15" s="13">
        <f t="shared" si="2"/>
        <v>0</v>
      </c>
      <c r="E15" s="13">
        <f t="shared" si="3"/>
        <v>0</v>
      </c>
      <c r="F15" s="13">
        <f t="shared" si="4"/>
        <v>0</v>
      </c>
      <c r="G15" s="102" t="s">
        <v>95</v>
      </c>
      <c r="H15" s="421">
        <f>'[1]Форма.2.3'!H15</f>
        <v>0</v>
      </c>
      <c r="I15" s="421">
        <f>'[1]Форма.2.3'!I15</f>
        <v>0</v>
      </c>
      <c r="J15" s="421">
        <f>'[1]Форма.2.3'!J15</f>
        <v>0</v>
      </c>
      <c r="K15" s="421">
        <v>0</v>
      </c>
      <c r="L15" s="421">
        <f t="shared" si="6"/>
        <v>0</v>
      </c>
      <c r="M15" s="422">
        <f t="shared" si="5"/>
        <v>0</v>
      </c>
      <c r="N15" s="419">
        <v>100</v>
      </c>
      <c r="O15" s="423" t="s">
        <v>25</v>
      </c>
      <c r="P15" s="406">
        <v>2</v>
      </c>
      <c r="Q15" s="90"/>
    </row>
    <row r="16" spans="1:17" ht="16.5" thickBot="1">
      <c r="A16" s="90"/>
      <c r="B16" s="15"/>
      <c r="C16" s="15"/>
      <c r="D16" s="15"/>
      <c r="E16" s="15"/>
      <c r="F16" s="15"/>
      <c r="G16" s="102" t="s">
        <v>28</v>
      </c>
      <c r="H16" s="423" t="s">
        <v>5</v>
      </c>
      <c r="I16" s="423" t="s">
        <v>5</v>
      </c>
      <c r="J16" s="423" t="s">
        <v>5</v>
      </c>
      <c r="K16" s="423" t="s">
        <v>5</v>
      </c>
      <c r="L16" s="423" t="s">
        <v>5</v>
      </c>
      <c r="M16" s="424"/>
      <c r="N16" s="425"/>
      <c r="O16" s="423" t="s">
        <v>5</v>
      </c>
      <c r="P16" s="426">
        <f>AVERAGE(P17:Q18)</f>
        <v>2</v>
      </c>
      <c r="Q16" s="90"/>
    </row>
    <row r="17" spans="1:17" ht="30.75" thickBot="1">
      <c r="A17" s="90"/>
      <c r="B17" s="13">
        <f>COUNTIF(D17:F17,"&lt;&gt;0")</f>
        <v>1</v>
      </c>
      <c r="C17" s="13">
        <f>COUNTIF(H17,"&lt;&gt;0")</f>
        <v>0</v>
      </c>
      <c r="D17" s="13">
        <f>COUNTIF(I17,"&lt;&gt;0")</f>
        <v>0</v>
      </c>
      <c r="E17" s="13">
        <f>COUNTIF(J17,"&lt;&gt;0")</f>
        <v>0</v>
      </c>
      <c r="F17" s="13">
        <f>COUNTIF(K17,"&lt;&gt;0")</f>
        <v>1</v>
      </c>
      <c r="G17" s="102" t="s">
        <v>96</v>
      </c>
      <c r="H17" s="421">
        <f>'[1]Форма.2.3'!H17</f>
        <v>0</v>
      </c>
      <c r="I17" s="421">
        <f>'[1]Форма.2.3'!I17</f>
        <v>0</v>
      </c>
      <c r="J17" s="421">
        <f>'[1]Форма.2.3'!J17</f>
        <v>0</v>
      </c>
      <c r="K17" s="421">
        <v>1</v>
      </c>
      <c r="L17" s="421">
        <f t="shared" si="6"/>
        <v>1</v>
      </c>
      <c r="M17" s="422">
        <f>L17</f>
        <v>1</v>
      </c>
      <c r="N17" s="419">
        <v>100</v>
      </c>
      <c r="O17" s="423" t="s">
        <v>27</v>
      </c>
      <c r="P17" s="406">
        <v>2</v>
      </c>
      <c r="Q17" s="90"/>
    </row>
    <row r="18" spans="1:17" ht="45.75" thickBot="1">
      <c r="A18" s="90"/>
      <c r="B18" s="15"/>
      <c r="C18" s="15"/>
      <c r="D18" s="15"/>
      <c r="E18" s="15"/>
      <c r="F18" s="15"/>
      <c r="G18" s="102" t="s">
        <v>97</v>
      </c>
      <c r="H18" s="423" t="s">
        <v>5</v>
      </c>
      <c r="I18" s="423" t="s">
        <v>5</v>
      </c>
      <c r="J18" s="423" t="s">
        <v>5</v>
      </c>
      <c r="K18" s="423" t="s">
        <v>5</v>
      </c>
      <c r="L18" s="423" t="s">
        <v>5</v>
      </c>
      <c r="M18" s="424"/>
      <c r="N18" s="425"/>
      <c r="O18" s="423" t="s">
        <v>25</v>
      </c>
      <c r="P18" s="426">
        <f>AVERAGE(P19:P21)</f>
        <v>2</v>
      </c>
      <c r="Q18" s="90"/>
    </row>
    <row r="19" spans="1:17" ht="15.75">
      <c r="A19" s="90"/>
      <c r="B19" s="13">
        <f>COUNTIF(D19:F19,"&lt;&gt;0")</f>
        <v>0</v>
      </c>
      <c r="C19" s="13">
        <f aca="true" t="shared" si="7" ref="C19:F21">COUNTIF(H19,"&lt;&gt;0")</f>
        <v>0</v>
      </c>
      <c r="D19" s="13">
        <f t="shared" si="7"/>
        <v>0</v>
      </c>
      <c r="E19" s="13">
        <f t="shared" si="7"/>
        <v>0</v>
      </c>
      <c r="F19" s="13">
        <f t="shared" si="7"/>
        <v>0</v>
      </c>
      <c r="G19" s="102" t="s">
        <v>29</v>
      </c>
      <c r="H19" s="421">
        <f>'[1]Форма.2.3'!H19</f>
        <v>0</v>
      </c>
      <c r="I19" s="421">
        <f>'[1]Форма.2.3'!I19</f>
        <v>0</v>
      </c>
      <c r="J19" s="421">
        <f>'[1]Форма.2.3'!J19</f>
        <v>0</v>
      </c>
      <c r="K19" s="421">
        <v>0</v>
      </c>
      <c r="L19" s="421">
        <f t="shared" si="6"/>
        <v>0</v>
      </c>
      <c r="M19" s="422">
        <f>L19</f>
        <v>0</v>
      </c>
      <c r="N19" s="419">
        <v>100</v>
      </c>
      <c r="O19" s="423" t="s">
        <v>5</v>
      </c>
      <c r="P19" s="406">
        <v>2</v>
      </c>
      <c r="Q19" s="90"/>
    </row>
    <row r="20" spans="1:17" ht="15.75">
      <c r="A20" s="90"/>
      <c r="B20" s="13">
        <f>COUNTIF(D20:F20,"&lt;&gt;0")</f>
        <v>0</v>
      </c>
      <c r="C20" s="13">
        <f t="shared" si="7"/>
        <v>0</v>
      </c>
      <c r="D20" s="13">
        <f t="shared" si="7"/>
        <v>0</v>
      </c>
      <c r="E20" s="13">
        <f t="shared" si="7"/>
        <v>0</v>
      </c>
      <c r="F20" s="13">
        <f t="shared" si="7"/>
        <v>0</v>
      </c>
      <c r="G20" s="102" t="s">
        <v>30</v>
      </c>
      <c r="H20" s="421">
        <f>'[1]Форма.2.3'!H20</f>
        <v>0</v>
      </c>
      <c r="I20" s="421">
        <f>'[1]Форма.2.3'!I20</f>
        <v>0</v>
      </c>
      <c r="J20" s="421">
        <f>'[1]Форма.2.3'!J20</f>
        <v>0</v>
      </c>
      <c r="K20" s="421">
        <v>0</v>
      </c>
      <c r="L20" s="421">
        <f t="shared" si="6"/>
        <v>0</v>
      </c>
      <c r="M20" s="422">
        <f>L20</f>
        <v>0</v>
      </c>
      <c r="N20" s="419">
        <v>100</v>
      </c>
      <c r="O20" s="423" t="s">
        <v>5</v>
      </c>
      <c r="P20" s="406">
        <v>2</v>
      </c>
      <c r="Q20" s="90"/>
    </row>
    <row r="21" spans="1:17" ht="30.75" thickBot="1">
      <c r="A21" s="90"/>
      <c r="B21" s="13">
        <f>COUNTIF(D21:F21,"&lt;&gt;0")</f>
        <v>0</v>
      </c>
      <c r="C21" s="13">
        <f t="shared" si="7"/>
        <v>0</v>
      </c>
      <c r="D21" s="13">
        <f t="shared" si="7"/>
        <v>0</v>
      </c>
      <c r="E21" s="13">
        <f t="shared" si="7"/>
        <v>0</v>
      </c>
      <c r="F21" s="13">
        <f t="shared" si="7"/>
        <v>0</v>
      </c>
      <c r="G21" s="102" t="s">
        <v>31</v>
      </c>
      <c r="H21" s="421">
        <f>'[1]Форма.2.3'!H21</f>
        <v>0</v>
      </c>
      <c r="I21" s="421">
        <f>'[1]Форма.2.3'!I21</f>
        <v>0</v>
      </c>
      <c r="J21" s="421">
        <f>'[1]Форма.2.3'!J21</f>
        <v>0</v>
      </c>
      <c r="K21" s="421">
        <v>0</v>
      </c>
      <c r="L21" s="421">
        <f t="shared" si="6"/>
        <v>0</v>
      </c>
      <c r="M21" s="422">
        <f>L21</f>
        <v>0</v>
      </c>
      <c r="N21" s="419">
        <v>100</v>
      </c>
      <c r="O21" s="423" t="s">
        <v>5</v>
      </c>
      <c r="P21" s="406">
        <v>2</v>
      </c>
      <c r="Q21" s="90"/>
    </row>
    <row r="22" spans="1:17" ht="30.75" thickBot="1">
      <c r="A22" s="90"/>
      <c r="B22" s="15"/>
      <c r="C22" s="15"/>
      <c r="D22" s="15"/>
      <c r="E22" s="15"/>
      <c r="F22" s="15"/>
      <c r="G22" s="102" t="s">
        <v>32</v>
      </c>
      <c r="H22" s="423"/>
      <c r="I22" s="423"/>
      <c r="J22" s="423"/>
      <c r="K22" s="423"/>
      <c r="L22" s="423"/>
      <c r="M22" s="424"/>
      <c r="N22" s="425"/>
      <c r="O22" s="423" t="s">
        <v>27</v>
      </c>
      <c r="P22" s="426">
        <f>AVERAGE(P23)</f>
        <v>2</v>
      </c>
      <c r="Q22" s="90"/>
    </row>
    <row r="23" spans="1:17" ht="45.75" thickBot="1">
      <c r="A23" s="90"/>
      <c r="B23" s="13">
        <f>COUNTIF(D23:F23,"&lt;&gt;0")</f>
        <v>0</v>
      </c>
      <c r="C23" s="13">
        <f>COUNTIF(H23,"&lt;&gt;0")</f>
        <v>0</v>
      </c>
      <c r="D23" s="13">
        <f>COUNTIF(I23,"&lt;&gt;0")</f>
        <v>0</v>
      </c>
      <c r="E23" s="13">
        <f>COUNTIF(J23,"&lt;&gt;0")</f>
        <v>0</v>
      </c>
      <c r="F23" s="13">
        <f>COUNTIF(K23,"&lt;&gt;0")</f>
        <v>0</v>
      </c>
      <c r="G23" s="102" t="s">
        <v>33</v>
      </c>
      <c r="H23" s="421">
        <f>'[1]Форма.2.3'!H23</f>
        <v>0</v>
      </c>
      <c r="I23" s="421">
        <f>'[1]Форма.2.3'!I23</f>
        <v>0</v>
      </c>
      <c r="J23" s="421">
        <f>'[1]Форма.2.3'!J23</f>
        <v>0</v>
      </c>
      <c r="K23" s="421">
        <v>0</v>
      </c>
      <c r="L23" s="421">
        <v>0</v>
      </c>
      <c r="M23" s="422">
        <f>L23</f>
        <v>0</v>
      </c>
      <c r="N23" s="419">
        <v>100</v>
      </c>
      <c r="O23" s="423"/>
      <c r="P23" s="406">
        <v>2</v>
      </c>
      <c r="Q23" s="90"/>
    </row>
    <row r="24" spans="1:17" ht="45.75" thickBot="1">
      <c r="A24" s="90"/>
      <c r="B24" s="15"/>
      <c r="C24" s="15"/>
      <c r="D24" s="15"/>
      <c r="E24" s="15"/>
      <c r="F24" s="15"/>
      <c r="G24" s="102" t="s">
        <v>34</v>
      </c>
      <c r="H24" s="423" t="s">
        <v>5</v>
      </c>
      <c r="I24" s="423" t="s">
        <v>5</v>
      </c>
      <c r="J24" s="423" t="s">
        <v>5</v>
      </c>
      <c r="K24" s="423" t="s">
        <v>5</v>
      </c>
      <c r="L24" s="423" t="s">
        <v>5</v>
      </c>
      <c r="M24" s="424"/>
      <c r="N24" s="206"/>
      <c r="O24" s="423" t="s">
        <v>5</v>
      </c>
      <c r="P24" s="426">
        <f>AVERAGE(P25:P26)</f>
        <v>2</v>
      </c>
      <c r="Q24" s="90"/>
    </row>
    <row r="25" spans="1:17" ht="33" customHeight="1">
      <c r="A25" s="90"/>
      <c r="B25" s="13">
        <f>COUNTIF(D25:F25,"&lt;&gt;0")</f>
        <v>0</v>
      </c>
      <c r="C25" s="13">
        <f aca="true" t="shared" si="8" ref="C25:F26">COUNTIF(H25,"&lt;&gt;0")</f>
        <v>0</v>
      </c>
      <c r="D25" s="13">
        <f t="shared" si="8"/>
        <v>0</v>
      </c>
      <c r="E25" s="13">
        <f t="shared" si="8"/>
        <v>0</v>
      </c>
      <c r="F25" s="13">
        <f t="shared" si="8"/>
        <v>0</v>
      </c>
      <c r="G25" s="102" t="s">
        <v>98</v>
      </c>
      <c r="H25" s="421">
        <f>'[1]Форма.2.3'!H25</f>
        <v>0</v>
      </c>
      <c r="I25" s="421">
        <f>'[1]Форма.2.3'!I25</f>
        <v>0</v>
      </c>
      <c r="J25" s="421">
        <f>'[1]Форма.2.3'!J25</f>
        <v>0</v>
      </c>
      <c r="K25" s="421">
        <v>0</v>
      </c>
      <c r="L25" s="421">
        <f t="shared" si="6"/>
        <v>0</v>
      </c>
      <c r="M25" s="422">
        <f>L25</f>
        <v>0</v>
      </c>
      <c r="N25" s="419">
        <v>100</v>
      </c>
      <c r="O25" s="423" t="s">
        <v>27</v>
      </c>
      <c r="P25" s="406">
        <v>2</v>
      </c>
      <c r="Q25" s="90"/>
    </row>
    <row r="26" spans="1:17" ht="75">
      <c r="A26" s="90"/>
      <c r="B26" s="13">
        <f>COUNTIF(D26:F26,"&lt;&gt;0")</f>
        <v>0</v>
      </c>
      <c r="C26" s="13">
        <f t="shared" si="8"/>
        <v>0</v>
      </c>
      <c r="D26" s="13">
        <f t="shared" si="8"/>
        <v>0</v>
      </c>
      <c r="E26" s="13">
        <f t="shared" si="8"/>
        <v>0</v>
      </c>
      <c r="F26" s="13">
        <f t="shared" si="8"/>
        <v>0</v>
      </c>
      <c r="G26" s="102" t="s">
        <v>262</v>
      </c>
      <c r="H26" s="421">
        <f>'[1]Форма.2.3'!H26</f>
        <v>0</v>
      </c>
      <c r="I26" s="421">
        <f>'[1]Форма.2.3'!I26</f>
        <v>0</v>
      </c>
      <c r="J26" s="421">
        <f>'[1]Форма.2.3'!J26</f>
        <v>0</v>
      </c>
      <c r="K26" s="421">
        <v>0</v>
      </c>
      <c r="L26" s="421">
        <f t="shared" si="6"/>
        <v>0</v>
      </c>
      <c r="M26" s="422">
        <f>L26</f>
        <v>0</v>
      </c>
      <c r="N26" s="419">
        <v>100</v>
      </c>
      <c r="O26" s="423" t="s">
        <v>25</v>
      </c>
      <c r="P26" s="406">
        <v>2</v>
      </c>
      <c r="Q26" s="90"/>
    </row>
    <row r="27" spans="1:17" s="91" customFormat="1" ht="5.25">
      <c r="A27" s="90"/>
      <c r="B27" s="45"/>
      <c r="C27" s="45"/>
      <c r="D27" s="45"/>
      <c r="E27" s="45"/>
      <c r="F27" s="45"/>
      <c r="G27" s="90"/>
      <c r="H27" s="90"/>
      <c r="I27" s="90"/>
      <c r="J27" s="90"/>
      <c r="K27" s="90"/>
      <c r="L27" s="90"/>
      <c r="M27" s="342"/>
      <c r="N27" s="90"/>
      <c r="O27" s="90"/>
      <c r="P27" s="90"/>
      <c r="Q27" s="90"/>
    </row>
    <row r="28" spans="1:17" ht="16.5">
      <c r="A28" s="90"/>
      <c r="B28" s="15"/>
      <c r="C28" s="15"/>
      <c r="D28" s="15"/>
      <c r="E28" s="15"/>
      <c r="F28" s="15"/>
      <c r="G28" s="102" t="s">
        <v>123</v>
      </c>
      <c r="H28" s="100" t="s">
        <v>5</v>
      </c>
      <c r="I28" s="100" t="s">
        <v>5</v>
      </c>
      <c r="J28" s="100" t="s">
        <v>5</v>
      </c>
      <c r="K28" s="100" t="s">
        <v>5</v>
      </c>
      <c r="L28" s="100" t="s">
        <v>5</v>
      </c>
      <c r="M28" s="346" t="s">
        <v>5</v>
      </c>
      <c r="N28" s="100" t="s">
        <v>5</v>
      </c>
      <c r="O28" s="100" t="s">
        <v>5</v>
      </c>
      <c r="P28" s="297">
        <f>AVERAGE(P24,P22,P16,P9,P8)</f>
        <v>2</v>
      </c>
      <c r="Q28" s="90"/>
    </row>
    <row r="29" spans="1:17" ht="15.75">
      <c r="A29" s="90"/>
      <c r="B29" s="15"/>
      <c r="C29" s="15"/>
      <c r="D29" s="15"/>
      <c r="E29" s="15"/>
      <c r="F29" s="15"/>
      <c r="G29" s="103"/>
      <c r="H29" s="104"/>
      <c r="I29" s="104"/>
      <c r="J29" s="104"/>
      <c r="K29" s="104"/>
      <c r="L29" s="104"/>
      <c r="M29" s="347"/>
      <c r="N29" s="104"/>
      <c r="O29" s="104"/>
      <c r="P29" s="104"/>
      <c r="Q29" s="90"/>
    </row>
    <row r="30" spans="1:17" s="91" customFormat="1" ht="5.25">
      <c r="A30" s="90"/>
      <c r="B30" s="45"/>
      <c r="C30" s="45"/>
      <c r="D30" s="45"/>
      <c r="E30" s="45"/>
      <c r="F30" s="45"/>
      <c r="G30" s="90"/>
      <c r="H30" s="90"/>
      <c r="I30" s="90"/>
      <c r="J30" s="90"/>
      <c r="K30" s="90"/>
      <c r="L30" s="90"/>
      <c r="M30" s="342"/>
      <c r="N30" s="90"/>
      <c r="O30" s="90"/>
      <c r="P30" s="90"/>
      <c r="Q30" s="90"/>
    </row>
    <row r="31" spans="1:17" ht="15.75">
      <c r="A31" s="90"/>
      <c r="B31" s="45"/>
      <c r="C31" s="45"/>
      <c r="D31" s="45"/>
      <c r="E31" s="45"/>
      <c r="F31" s="45"/>
      <c r="H31" s="11" t="str">
        <f>Содержание!$C$26</f>
        <v>Директор</v>
      </c>
      <c r="I31" s="11"/>
      <c r="J31" s="103"/>
      <c r="K31" s="8" t="str">
        <f>Содержание!$G$26</f>
        <v>Осипов Д.С.</v>
      </c>
      <c r="L31" s="103"/>
      <c r="M31" s="348"/>
      <c r="P31" s="103"/>
      <c r="Q31" s="90"/>
    </row>
    <row r="32" spans="1:17" ht="15" customHeight="1">
      <c r="A32" s="90"/>
      <c r="H32" s="67" t="s">
        <v>8</v>
      </c>
      <c r="I32" s="192"/>
      <c r="J32" s="105"/>
      <c r="K32" s="43" t="s">
        <v>20</v>
      </c>
      <c r="L32" s="105"/>
      <c r="M32" s="349" t="s">
        <v>9</v>
      </c>
      <c r="P32" s="103"/>
      <c r="Q32" s="90"/>
    </row>
    <row r="33" spans="1:17" s="91" customFormat="1" ht="5.25">
      <c r="A33" s="90"/>
      <c r="B33" s="45"/>
      <c r="C33" s="45"/>
      <c r="D33" s="45"/>
      <c r="E33" s="45"/>
      <c r="F33" s="45"/>
      <c r="G33" s="90"/>
      <c r="H33" s="90"/>
      <c r="I33" s="90"/>
      <c r="J33" s="90"/>
      <c r="K33" s="90"/>
      <c r="L33" s="90"/>
      <c r="M33" s="342"/>
      <c r="N33" s="90"/>
      <c r="O33" s="90"/>
      <c r="P33" s="90"/>
      <c r="Q33" s="90"/>
    </row>
    <row r="34" spans="1:17" ht="15.75">
      <c r="A34" s="90"/>
      <c r="G34" s="107" t="s">
        <v>87</v>
      </c>
      <c r="H34" s="105"/>
      <c r="I34" s="105"/>
      <c r="J34" s="105"/>
      <c r="K34" s="105"/>
      <c r="L34" s="105"/>
      <c r="M34" s="350"/>
      <c r="N34" s="105"/>
      <c r="O34" s="105"/>
      <c r="P34" s="105"/>
      <c r="Q34" s="90"/>
    </row>
    <row r="35" spans="1:17" ht="15.75">
      <c r="A35" s="90"/>
      <c r="G35" s="43" t="s">
        <v>86</v>
      </c>
      <c r="H35" s="105"/>
      <c r="I35" s="105"/>
      <c r="J35" s="105"/>
      <c r="K35" s="105"/>
      <c r="L35" s="105"/>
      <c r="M35" s="350"/>
      <c r="N35" s="105"/>
      <c r="O35" s="105"/>
      <c r="P35" s="105"/>
      <c r="Q35" s="90"/>
    </row>
    <row r="36" spans="1:17" s="91" customFormat="1" ht="5.25">
      <c r="A36" s="90"/>
      <c r="B36" s="45"/>
      <c r="C36" s="45"/>
      <c r="D36" s="45"/>
      <c r="E36" s="45"/>
      <c r="F36" s="45"/>
      <c r="G36" s="90"/>
      <c r="H36" s="90"/>
      <c r="I36" s="90"/>
      <c r="J36" s="90"/>
      <c r="K36" s="90"/>
      <c r="L36" s="90"/>
      <c r="M36" s="342"/>
      <c r="N36" s="90"/>
      <c r="O36" s="90"/>
      <c r="P36" s="90"/>
      <c r="Q36" s="90"/>
    </row>
    <row r="37" spans="8:11" ht="15.75">
      <c r="H37" s="101"/>
      <c r="I37" s="101"/>
      <c r="J37" s="101"/>
      <c r="K37" s="101"/>
    </row>
    <row r="38" spans="2:11" ht="15.75">
      <c r="B38" s="45"/>
      <c r="C38" s="45"/>
      <c r="D38" s="45"/>
      <c r="E38" s="45"/>
      <c r="F38" s="45"/>
      <c r="H38" s="45"/>
      <c r="I38" s="45"/>
      <c r="J38" s="45"/>
      <c r="K38" s="45"/>
    </row>
    <row r="39" spans="2:11" ht="15.75">
      <c r="B39" s="66"/>
      <c r="C39" s="66"/>
      <c r="D39" s="66"/>
      <c r="E39" s="66"/>
      <c r="F39" s="66"/>
      <c r="H39" s="67"/>
      <c r="I39" s="67"/>
      <c r="J39" s="67"/>
      <c r="K39" s="67"/>
    </row>
    <row r="40" spans="2:11" ht="15.75">
      <c r="B40" s="66"/>
      <c r="C40" s="66"/>
      <c r="D40" s="66"/>
      <c r="E40" s="66"/>
      <c r="F40" s="66"/>
      <c r="H40" s="55"/>
      <c r="I40" s="55"/>
      <c r="J40" s="55"/>
      <c r="K40" s="55"/>
    </row>
    <row r="41" spans="2:11" ht="15.75">
      <c r="B41" s="72"/>
      <c r="C41" s="72"/>
      <c r="D41" s="72"/>
      <c r="E41" s="72"/>
      <c r="F41" s="72"/>
      <c r="H41" s="72"/>
      <c r="I41" s="72"/>
      <c r="J41" s="72"/>
      <c r="K41" s="72"/>
    </row>
  </sheetData>
  <sheetProtection password="CA0A" sheet="1" formatCells="0" formatColumns="0" formatRows="0"/>
  <mergeCells count="5">
    <mergeCell ref="P5:P6"/>
    <mergeCell ref="G5:G6"/>
    <mergeCell ref="L5:M5"/>
    <mergeCell ref="N5:N6"/>
    <mergeCell ref="O5:O6"/>
  </mergeCells>
  <printOptions horizontalCentered="1"/>
  <pageMargins left="0.1968503937007874" right="0.1968503937007874" top="0.67" bottom="0.2362204724409449" header="0.51" footer="0.15748031496062992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P67"/>
  <sheetViews>
    <sheetView zoomScale="75" zoomScaleNormal="75" zoomScaleSheetLayoutView="100" workbookViewId="0" topLeftCell="A1">
      <pane xSplit="3" ySplit="10" topLeftCell="D25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H62" sqref="H62"/>
    </sheetView>
  </sheetViews>
  <sheetFormatPr defaultColWidth="9.00390625" defaultRowHeight="15.75" outlineLevelCol="3"/>
  <cols>
    <col min="1" max="1" width="0.875" style="126" customWidth="1"/>
    <col min="2" max="2" width="40.75390625" style="464" customWidth="1"/>
    <col min="3" max="3" width="9.875" style="464" hidden="1" customWidth="1"/>
    <col min="4" max="4" width="8.125" style="464" customWidth="1" outlineLevel="1"/>
    <col min="5" max="8" width="8.125" style="465" customWidth="1"/>
    <col min="9" max="9" width="7.75390625" style="112" hidden="1" customWidth="1"/>
    <col min="10" max="10" width="10.375" style="112" hidden="1" customWidth="1"/>
    <col min="11" max="11" width="7.375" style="112" hidden="1" customWidth="1"/>
    <col min="12" max="12" width="2.625" style="114" customWidth="1"/>
    <col min="13" max="13" width="11.125" style="31" bestFit="1" customWidth="1"/>
    <col min="14" max="14" width="8.125" style="31" bestFit="1" customWidth="1" outlineLevel="1"/>
    <col min="15" max="15" width="6.25390625" style="112" bestFit="1" customWidth="1"/>
    <col min="16" max="16" width="6.875" style="31" customWidth="1" outlineLevel="1"/>
    <col min="17" max="17" width="0.875" style="114" customWidth="1" outlineLevel="1"/>
    <col min="18" max="18" width="8.125" style="112" bestFit="1" customWidth="1"/>
    <col min="19" max="19" width="5.375" style="112" bestFit="1" customWidth="1"/>
    <col min="20" max="20" width="7.625" style="112" customWidth="1"/>
    <col min="21" max="21" width="0.875" style="114" customWidth="1"/>
    <col min="22" max="22" width="8.125" style="112" bestFit="1" customWidth="1"/>
    <col min="23" max="23" width="5.25390625" style="112" customWidth="1"/>
    <col min="24" max="24" width="7.50390625" style="112" customWidth="1"/>
    <col min="25" max="25" width="0.875" style="114" customWidth="1"/>
    <col min="26" max="26" width="8.125" style="112" hidden="1" customWidth="1" outlineLevel="1"/>
    <col min="27" max="27" width="5.25390625" style="112" hidden="1" customWidth="1" outlineLevel="1"/>
    <col min="28" max="28" width="7.00390625" style="112" hidden="1" customWidth="1" outlineLevel="1"/>
    <col min="29" max="29" width="0.875" style="114" hidden="1" customWidth="1" outlineLevel="1"/>
    <col min="30" max="30" width="8.125" style="112" hidden="1" customWidth="1" outlineLevel="1"/>
    <col min="31" max="31" width="5.25390625" style="112" hidden="1" customWidth="1" outlineLevel="1"/>
    <col min="32" max="32" width="7.00390625" style="112" hidden="1" customWidth="1" outlineLevel="1"/>
    <col min="33" max="33" width="8.125" style="112" hidden="1" customWidth="1" outlineLevel="3"/>
    <col min="34" max="34" width="5.25390625" style="112" hidden="1" customWidth="1" outlineLevel="3"/>
    <col min="35" max="35" width="7.00390625" style="112" hidden="1" customWidth="1" outlineLevel="3"/>
    <col min="36" max="36" width="0.875" style="114" hidden="1" customWidth="1" outlineLevel="1" collapsed="1"/>
    <col min="37" max="37" width="9.50390625" style="292" hidden="1" customWidth="1" outlineLevel="1"/>
    <col min="38" max="39" width="0.875" style="114" hidden="1" customWidth="1" outlineLevel="1"/>
    <col min="40" max="40" width="73.625" style="112" bestFit="1" customWidth="1" collapsed="1"/>
    <col min="41" max="41" width="0.875" style="31" customWidth="1"/>
    <col min="42" max="42" width="56.625" style="31" bestFit="1" customWidth="1"/>
    <col min="43" max="16384" width="9.00390625" style="31" customWidth="1"/>
  </cols>
  <sheetData>
    <row r="1" spans="1:40" ht="15.75">
      <c r="A1" s="5"/>
      <c r="B1" s="276" t="s">
        <v>102</v>
      </c>
      <c r="C1" s="276"/>
      <c r="D1" s="276"/>
      <c r="E1" s="276"/>
      <c r="F1" s="276"/>
      <c r="G1" s="276"/>
      <c r="H1" s="276"/>
      <c r="I1" s="539" t="s">
        <v>201</v>
      </c>
      <c r="J1" s="540"/>
      <c r="K1" s="541"/>
      <c r="L1" s="109"/>
      <c r="M1" s="288"/>
      <c r="N1" s="261"/>
      <c r="O1" s="127"/>
      <c r="P1" s="110"/>
      <c r="Q1" s="109"/>
      <c r="R1" s="260"/>
      <c r="S1" s="127"/>
      <c r="T1" s="127"/>
      <c r="U1" s="109"/>
      <c r="V1" s="127"/>
      <c r="W1" s="127"/>
      <c r="X1" s="127"/>
      <c r="Y1" s="109"/>
      <c r="Z1" s="127"/>
      <c r="AA1" s="127"/>
      <c r="AB1" s="127"/>
      <c r="AC1" s="109"/>
      <c r="AD1" s="127"/>
      <c r="AE1" s="127"/>
      <c r="AF1" s="127"/>
      <c r="AG1" s="127"/>
      <c r="AH1" s="127"/>
      <c r="AI1" s="127"/>
      <c r="AJ1" s="109"/>
      <c r="AK1" s="289"/>
      <c r="AL1" s="109"/>
      <c r="AM1" s="109"/>
      <c r="AN1" s="127"/>
    </row>
    <row r="2" spans="1:40" ht="15.75" customHeight="1" thickBot="1">
      <c r="A2" s="5"/>
      <c r="B2" s="276" t="s">
        <v>14</v>
      </c>
      <c r="C2" s="276"/>
      <c r="D2" s="276"/>
      <c r="E2" s="276"/>
      <c r="F2" s="276"/>
      <c r="G2" s="276"/>
      <c r="H2" s="276"/>
      <c r="I2" s="542"/>
      <c r="J2" s="543"/>
      <c r="K2" s="544"/>
      <c r="L2" s="111"/>
      <c r="M2" s="288"/>
      <c r="N2" s="261"/>
      <c r="O2" s="127"/>
      <c r="P2" s="110"/>
      <c r="Q2" s="109"/>
      <c r="R2" s="260"/>
      <c r="S2" s="127"/>
      <c r="T2" s="127"/>
      <c r="U2" s="109"/>
      <c r="V2" s="127"/>
      <c r="W2" s="127"/>
      <c r="X2" s="127"/>
      <c r="Y2" s="109"/>
      <c r="Z2" s="127"/>
      <c r="AA2" s="127"/>
      <c r="AB2" s="127"/>
      <c r="AC2" s="109"/>
      <c r="AD2" s="127"/>
      <c r="AE2" s="127"/>
      <c r="AF2" s="127"/>
      <c r="AG2" s="127"/>
      <c r="AH2" s="127"/>
      <c r="AI2" s="127"/>
      <c r="AJ2" s="109"/>
      <c r="AK2" s="290"/>
      <c r="AL2" s="111"/>
      <c r="AM2" s="111"/>
      <c r="AN2" s="137"/>
    </row>
    <row r="3" spans="1:40" s="27" customFormat="1" ht="5.25">
      <c r="A3" s="5"/>
      <c r="B3" s="1"/>
      <c r="C3" s="1"/>
      <c r="D3" s="1"/>
      <c r="E3" s="1"/>
      <c r="F3" s="1"/>
      <c r="G3" s="1"/>
      <c r="H3" s="1"/>
      <c r="I3" s="28"/>
      <c r="J3" s="28"/>
      <c r="K3" s="28"/>
      <c r="L3" s="113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</row>
    <row r="4" spans="1:40" ht="15.75" customHeight="1">
      <c r="A4" s="5"/>
      <c r="B4" s="38" t="str">
        <f>Содержание!$C$5</f>
        <v>ООО "Томские электрические сети"</v>
      </c>
      <c r="C4" s="213"/>
      <c r="D4" s="213"/>
      <c r="E4" s="2"/>
      <c r="F4" s="2"/>
      <c r="G4" s="2"/>
      <c r="H4" s="2"/>
      <c r="I4" s="530" t="str">
        <f>'Форма.2.1'!K6&amp;"-"&amp;'Форма.2.1'!K5&amp;"гг."</f>
        <v>Фактиче
ское (Ф)-2017гг.</v>
      </c>
      <c r="J4" s="531"/>
      <c r="K4" s="532"/>
      <c r="L4" s="296"/>
      <c r="M4" s="216" t="str">
        <f>'Форма.2.1'!H5&amp;" - "&amp;'Форма.2.1'!K5</f>
        <v>2012 - 2017</v>
      </c>
      <c r="N4" s="521">
        <f>'Форма.1.3'!E7</f>
        <v>2019</v>
      </c>
      <c r="O4" s="522"/>
      <c r="P4" s="523"/>
      <c r="Q4" s="12"/>
      <c r="R4" s="545">
        <f>N4+1</f>
        <v>2020</v>
      </c>
      <c r="S4" s="546"/>
      <c r="T4" s="547"/>
      <c r="U4" s="12"/>
      <c r="V4" s="545">
        <f>N4+2</f>
        <v>2021</v>
      </c>
      <c r="W4" s="546"/>
      <c r="X4" s="547"/>
      <c r="Z4" s="545">
        <f>N4+3</f>
        <v>2022</v>
      </c>
      <c r="AA4" s="546"/>
      <c r="AB4" s="547"/>
      <c r="AD4" s="545">
        <f>N4+4</f>
        <v>2023</v>
      </c>
      <c r="AE4" s="546"/>
      <c r="AF4" s="547"/>
      <c r="AG4" s="545">
        <f>N4+5</f>
        <v>2024</v>
      </c>
      <c r="AH4" s="546"/>
      <c r="AI4" s="547"/>
      <c r="AK4" s="291"/>
      <c r="AL4" s="134"/>
      <c r="AM4" s="77"/>
      <c r="AN4" s="138"/>
    </row>
    <row r="5" spans="1:40" ht="15.75" customHeight="1">
      <c r="A5" s="5"/>
      <c r="B5" s="3" t="s">
        <v>15</v>
      </c>
      <c r="C5" s="214"/>
      <c r="D5" s="214"/>
      <c r="E5" s="21"/>
      <c r="F5" s="21"/>
      <c r="G5" s="19"/>
      <c r="H5" s="19"/>
      <c r="I5" s="115" t="s">
        <v>4</v>
      </c>
      <c r="J5" s="526" t="s">
        <v>109</v>
      </c>
      <c r="K5" s="526" t="s">
        <v>110</v>
      </c>
      <c r="L5" s="296"/>
      <c r="M5" s="115" t="s">
        <v>4</v>
      </c>
      <c r="N5" s="115" t="s">
        <v>4</v>
      </c>
      <c r="O5" s="526" t="s">
        <v>109</v>
      </c>
      <c r="P5" s="527" t="s">
        <v>110</v>
      </c>
      <c r="R5" s="115" t="s">
        <v>4</v>
      </c>
      <c r="S5" s="526" t="s">
        <v>109</v>
      </c>
      <c r="T5" s="527" t="s">
        <v>110</v>
      </c>
      <c r="V5" s="115" t="s">
        <v>4</v>
      </c>
      <c r="W5" s="526" t="s">
        <v>109</v>
      </c>
      <c r="X5" s="527" t="s">
        <v>110</v>
      </c>
      <c r="Z5" s="115" t="s">
        <v>4</v>
      </c>
      <c r="AA5" s="526" t="s">
        <v>109</v>
      </c>
      <c r="AB5" s="527" t="s">
        <v>110</v>
      </c>
      <c r="AD5" s="115" t="s">
        <v>4</v>
      </c>
      <c r="AE5" s="526" t="s">
        <v>109</v>
      </c>
      <c r="AF5" s="527" t="s">
        <v>110</v>
      </c>
      <c r="AG5" s="115" t="s">
        <v>4</v>
      </c>
      <c r="AH5" s="526" t="s">
        <v>109</v>
      </c>
      <c r="AI5" s="526" t="s">
        <v>110</v>
      </c>
      <c r="AK5" s="535" t="s">
        <v>71</v>
      </c>
      <c r="AN5" s="139"/>
    </row>
    <row r="6" spans="1:40" ht="15.75" customHeight="1">
      <c r="A6" s="5"/>
      <c r="B6" s="23" t="s">
        <v>11</v>
      </c>
      <c r="C6" s="20">
        <f>Содержание!I5</f>
        <v>2017</v>
      </c>
      <c r="D6" s="20">
        <f>N4</f>
        <v>2019</v>
      </c>
      <c r="E6" s="20">
        <f>R4</f>
        <v>2020</v>
      </c>
      <c r="F6" s="20">
        <f>V4</f>
        <v>2021</v>
      </c>
      <c r="G6" s="4">
        <f>Z4</f>
        <v>2022</v>
      </c>
      <c r="H6" s="4">
        <f>AD4</f>
        <v>2023</v>
      </c>
      <c r="I6" s="548" t="s">
        <v>200</v>
      </c>
      <c r="J6" s="526"/>
      <c r="K6" s="526"/>
      <c r="L6" s="296"/>
      <c r="M6" s="526" t="s">
        <v>182</v>
      </c>
      <c r="N6" s="527" t="s">
        <v>119</v>
      </c>
      <c r="O6" s="526"/>
      <c r="P6" s="528"/>
      <c r="Q6" s="116"/>
      <c r="R6" s="527" t="s">
        <v>119</v>
      </c>
      <c r="S6" s="526"/>
      <c r="T6" s="528"/>
      <c r="U6" s="116"/>
      <c r="V6" s="527" t="s">
        <v>119</v>
      </c>
      <c r="W6" s="526"/>
      <c r="X6" s="528"/>
      <c r="Y6" s="116"/>
      <c r="Z6" s="527" t="s">
        <v>119</v>
      </c>
      <c r="AA6" s="526"/>
      <c r="AB6" s="528"/>
      <c r="AC6" s="116"/>
      <c r="AD6" s="527" t="s">
        <v>119</v>
      </c>
      <c r="AE6" s="526"/>
      <c r="AF6" s="528"/>
      <c r="AG6" s="527" t="s">
        <v>119</v>
      </c>
      <c r="AH6" s="526"/>
      <c r="AI6" s="526"/>
      <c r="AK6" s="535"/>
      <c r="AM6" s="116"/>
      <c r="AN6" s="536" t="s">
        <v>169</v>
      </c>
    </row>
    <row r="7" spans="1:40" ht="24" customHeight="1">
      <c r="A7" s="5"/>
      <c r="B7" s="533" t="s">
        <v>16</v>
      </c>
      <c r="C7" s="18" t="s">
        <v>17</v>
      </c>
      <c r="D7" s="18" t="s">
        <v>17</v>
      </c>
      <c r="E7" s="18" t="s">
        <v>17</v>
      </c>
      <c r="F7" s="18" t="s">
        <v>17</v>
      </c>
      <c r="G7" s="4" t="s">
        <v>17</v>
      </c>
      <c r="H7" s="4" t="s">
        <v>17</v>
      </c>
      <c r="I7" s="549"/>
      <c r="J7" s="526"/>
      <c r="K7" s="526"/>
      <c r="L7" s="296"/>
      <c r="M7" s="526"/>
      <c r="N7" s="528"/>
      <c r="O7" s="526"/>
      <c r="P7" s="528"/>
      <c r="Q7" s="116"/>
      <c r="R7" s="528"/>
      <c r="S7" s="526"/>
      <c r="T7" s="528"/>
      <c r="U7" s="116"/>
      <c r="V7" s="528"/>
      <c r="W7" s="526"/>
      <c r="X7" s="528"/>
      <c r="Y7" s="116"/>
      <c r="Z7" s="528"/>
      <c r="AA7" s="526"/>
      <c r="AB7" s="528"/>
      <c r="AC7" s="116"/>
      <c r="AD7" s="528"/>
      <c r="AE7" s="526"/>
      <c r="AF7" s="528"/>
      <c r="AG7" s="528"/>
      <c r="AH7" s="526"/>
      <c r="AI7" s="526"/>
      <c r="AK7" s="535"/>
      <c r="AM7" s="116"/>
      <c r="AN7" s="537"/>
    </row>
    <row r="8" spans="1:40" ht="24" customHeight="1">
      <c r="A8" s="5"/>
      <c r="B8" s="534"/>
      <c r="C8" s="18" t="s">
        <v>202</v>
      </c>
      <c r="D8" s="18" t="s">
        <v>202</v>
      </c>
      <c r="E8" s="18" t="s">
        <v>202</v>
      </c>
      <c r="F8" s="18" t="s">
        <v>202</v>
      </c>
      <c r="G8" s="4" t="s">
        <v>202</v>
      </c>
      <c r="H8" s="4" t="s">
        <v>202</v>
      </c>
      <c r="I8" s="550"/>
      <c r="J8" s="526"/>
      <c r="K8" s="526"/>
      <c r="L8" s="296"/>
      <c r="M8" s="526"/>
      <c r="N8" s="529"/>
      <c r="O8" s="526"/>
      <c r="P8" s="529"/>
      <c r="Q8" s="116"/>
      <c r="R8" s="529"/>
      <c r="S8" s="526"/>
      <c r="T8" s="529"/>
      <c r="U8" s="116"/>
      <c r="V8" s="529"/>
      <c r="W8" s="526"/>
      <c r="X8" s="529"/>
      <c r="Y8" s="116"/>
      <c r="Z8" s="529"/>
      <c r="AA8" s="526"/>
      <c r="AB8" s="529"/>
      <c r="AC8" s="116"/>
      <c r="AD8" s="529"/>
      <c r="AE8" s="526"/>
      <c r="AF8" s="529"/>
      <c r="AG8" s="529"/>
      <c r="AH8" s="526"/>
      <c r="AI8" s="526"/>
      <c r="AK8" s="535"/>
      <c r="AM8" s="116"/>
      <c r="AN8" s="538"/>
    </row>
    <row r="9" spans="1:42" ht="18">
      <c r="A9" s="6"/>
      <c r="B9" s="278" t="s">
        <v>317</v>
      </c>
      <c r="C9" s="451">
        <v>2</v>
      </c>
      <c r="D9" s="452">
        <f>AVERAGE(D10,D17,D21,D22,D23,D25)</f>
        <v>2</v>
      </c>
      <c r="E9" s="452">
        <f>AVERAGE(E10,E17,E21,E22,E23,E25)</f>
        <v>2</v>
      </c>
      <c r="F9" s="452">
        <f>AVERAGE(F10,F17,F21,F22,F23,F25)</f>
        <v>2</v>
      </c>
      <c r="G9" s="452">
        <f>AVERAGE(G10,G17,G21,G22,G23,G25)</f>
        <v>2</v>
      </c>
      <c r="H9" s="452">
        <f>AVERAGE(H10,H17,H21,H22,H23,H25)</f>
        <v>2</v>
      </c>
      <c r="I9" s="31"/>
      <c r="J9" s="31"/>
      <c r="K9" s="200">
        <f>AVERAGE(K25,K23,K22,K21,K17,K10)</f>
        <v>2</v>
      </c>
      <c r="L9" s="296"/>
      <c r="M9" s="285"/>
      <c r="N9" s="285"/>
      <c r="O9" s="433"/>
      <c r="P9" s="427">
        <f>AVERAGE(P10,P17,P21,P22,P23,P25)</f>
        <v>2</v>
      </c>
      <c r="Q9" s="132">
        <v>0</v>
      </c>
      <c r="R9" s="31"/>
      <c r="S9" s="433"/>
      <c r="T9" s="427">
        <f>AVERAGE(T10,T17,T21,T22,T23,T25)</f>
        <v>2</v>
      </c>
      <c r="U9" s="132">
        <v>0</v>
      </c>
      <c r="V9" s="31"/>
      <c r="W9" s="433"/>
      <c r="X9" s="427">
        <f>AVERAGE(X10,X17,X21,X22,X23,X25)</f>
        <v>2</v>
      </c>
      <c r="Y9" s="132">
        <v>0</v>
      </c>
      <c r="Z9" s="31"/>
      <c r="AA9" s="433"/>
      <c r="AB9" s="427">
        <f>AVERAGE(AB10,AB17,AB21,AB22,AB23,AB25)</f>
        <v>2</v>
      </c>
      <c r="AC9" s="132">
        <v>0</v>
      </c>
      <c r="AD9" s="31"/>
      <c r="AE9" s="433"/>
      <c r="AF9" s="427">
        <f>AVERAGE(AF10,AF17,AF21,AF22,AF23,AF25)</f>
        <v>2</v>
      </c>
      <c r="AG9" s="31"/>
      <c r="AH9" s="31"/>
      <c r="AI9" s="254">
        <f>AVERAGE(AI10,AI17,AI21,AI22,AI23,AI25)</f>
        <v>2</v>
      </c>
      <c r="AJ9" s="135"/>
      <c r="AK9" s="171"/>
      <c r="AM9" s="116"/>
      <c r="AN9" s="140" t="s">
        <v>170</v>
      </c>
      <c r="AP9" s="278" t="s">
        <v>317</v>
      </c>
    </row>
    <row r="10" spans="1:42" ht="16.5">
      <c r="A10" s="17"/>
      <c r="B10" s="283" t="s">
        <v>321</v>
      </c>
      <c r="C10" s="453">
        <v>2</v>
      </c>
      <c r="D10" s="454">
        <v>2</v>
      </c>
      <c r="E10" s="454">
        <v>2</v>
      </c>
      <c r="F10" s="454">
        <v>2</v>
      </c>
      <c r="G10" s="454">
        <v>2</v>
      </c>
      <c r="H10" s="454">
        <v>2</v>
      </c>
      <c r="I10" s="31"/>
      <c r="J10" s="31"/>
      <c r="K10" s="117">
        <f>AVERAGE(K11,K12)</f>
        <v>2</v>
      </c>
      <c r="L10" s="296"/>
      <c r="O10" s="330"/>
      <c r="P10" s="428">
        <f>'[1]Форма.2.4'!P10</f>
        <v>2</v>
      </c>
      <c r="Q10" s="132">
        <v>0</v>
      </c>
      <c r="R10" s="31"/>
      <c r="S10" s="330"/>
      <c r="T10" s="428">
        <f>'[1]Форма.2.4'!T10</f>
        <v>2</v>
      </c>
      <c r="U10" s="132">
        <v>0</v>
      </c>
      <c r="V10" s="31"/>
      <c r="W10" s="330"/>
      <c r="X10" s="428">
        <f>'[1]Форма.2.4'!X10</f>
        <v>2</v>
      </c>
      <c r="Y10" s="132">
        <v>0</v>
      </c>
      <c r="Z10" s="31"/>
      <c r="AA10" s="330"/>
      <c r="AB10" s="428">
        <f>'[1]Форма.2.4'!AB10</f>
        <v>2</v>
      </c>
      <c r="AC10" s="132">
        <v>0</v>
      </c>
      <c r="AD10" s="31"/>
      <c r="AE10" s="330"/>
      <c r="AF10" s="428">
        <f>'[1]Форма.2.4'!AF10</f>
        <v>2</v>
      </c>
      <c r="AG10" s="31"/>
      <c r="AH10" s="31"/>
      <c r="AI10" s="117">
        <f>IF(MIN(AI11:AI12)=0,0,AVERAGE(AI11:AI12))</f>
        <v>2</v>
      </c>
      <c r="AJ10" s="135"/>
      <c r="AK10" s="293" t="s">
        <v>103</v>
      </c>
      <c r="AM10" s="116"/>
      <c r="AN10" s="141" t="s">
        <v>136</v>
      </c>
      <c r="AP10" s="281" t="s">
        <v>294</v>
      </c>
    </row>
    <row r="11" spans="1:42" ht="16.5">
      <c r="A11" s="5"/>
      <c r="B11" s="282" t="s">
        <v>322</v>
      </c>
      <c r="C11" s="453">
        <f>'Форма.2.1'!$P$9</f>
        <v>2</v>
      </c>
      <c r="D11" s="405">
        <v>2</v>
      </c>
      <c r="E11" s="405">
        <v>2</v>
      </c>
      <c r="F11" s="405">
        <v>2</v>
      </c>
      <c r="G11" s="405">
        <v>2</v>
      </c>
      <c r="H11" s="405">
        <v>2</v>
      </c>
      <c r="I11" s="204">
        <f>'Форма.2.1'!K9</f>
        <v>20</v>
      </c>
      <c r="J11" s="129">
        <f>IF(AND(I11=0,N11&lt;&gt;0),0,IF(N11=0,100,I11/N11*100))</f>
        <v>100</v>
      </c>
      <c r="K11" s="118">
        <f>IF(J11&lt;80,3,IF(J11&gt;120,1,2))</f>
        <v>2</v>
      </c>
      <c r="L11" s="296"/>
      <c r="M11" s="259">
        <f>'Форма.2.1'!L9</f>
        <v>20</v>
      </c>
      <c r="N11" s="259">
        <f>'Форма.2.1'!M9</f>
        <v>20</v>
      </c>
      <c r="O11" s="434">
        <f>'[1]Форма.2.4'!O11</f>
        <v>100</v>
      </c>
      <c r="P11" s="429">
        <f>'[1]Форма.2.4'!P11</f>
        <v>2</v>
      </c>
      <c r="Q11" s="132">
        <v>0</v>
      </c>
      <c r="R11" s="204">
        <f>N11*(1-0.015)</f>
        <v>19.7</v>
      </c>
      <c r="S11" s="434">
        <f>'[1]Форма.2.4'!S11</f>
        <v>100</v>
      </c>
      <c r="T11" s="429">
        <f>'[1]Форма.2.4'!T11</f>
        <v>2</v>
      </c>
      <c r="U11" s="132">
        <v>0</v>
      </c>
      <c r="V11" s="204">
        <f>R11*(1-0.015)</f>
        <v>19.4045</v>
      </c>
      <c r="W11" s="434">
        <f>'[1]Форма.2.4'!W11</f>
        <v>100</v>
      </c>
      <c r="X11" s="429">
        <f>'[1]Форма.2.4'!X11</f>
        <v>2</v>
      </c>
      <c r="Y11" s="132">
        <v>0</v>
      </c>
      <c r="Z11" s="204">
        <f>V11*(1-0.015)</f>
        <v>19.1134325</v>
      </c>
      <c r="AA11" s="434">
        <f>'[1]Форма.2.4'!AA11</f>
        <v>100</v>
      </c>
      <c r="AB11" s="429">
        <f>'[1]Форма.2.4'!AB11</f>
        <v>2</v>
      </c>
      <c r="AC11" s="132">
        <v>0</v>
      </c>
      <c r="AD11" s="204">
        <f>Z11*(1-0.015)</f>
        <v>18.826731012499998</v>
      </c>
      <c r="AE11" s="434">
        <f>'[1]Форма.2.4'!AE11</f>
        <v>100</v>
      </c>
      <c r="AF11" s="429">
        <f>'[1]Форма.2.4'!AF11</f>
        <v>2</v>
      </c>
      <c r="AG11" s="219">
        <f>AD11/0.985</f>
        <v>19.1134325</v>
      </c>
      <c r="AH11" s="129">
        <v>100</v>
      </c>
      <c r="AI11" s="118">
        <v>2</v>
      </c>
      <c r="AJ11" s="135"/>
      <c r="AK11" s="293" t="s">
        <v>83</v>
      </c>
      <c r="AM11" s="116"/>
      <c r="AN11" s="141" t="s">
        <v>137</v>
      </c>
      <c r="AP11" s="282" t="s">
        <v>283</v>
      </c>
    </row>
    <row r="12" spans="1:42" ht="16.5">
      <c r="A12" s="17"/>
      <c r="B12" s="283" t="s">
        <v>323</v>
      </c>
      <c r="C12" s="453">
        <v>2</v>
      </c>
      <c r="D12" s="454">
        <v>2</v>
      </c>
      <c r="E12" s="454">
        <v>2</v>
      </c>
      <c r="F12" s="454">
        <v>2</v>
      </c>
      <c r="G12" s="454">
        <v>2</v>
      </c>
      <c r="H12" s="454">
        <v>2</v>
      </c>
      <c r="I12" s="31"/>
      <c r="J12" s="31"/>
      <c r="K12" s="117">
        <f>AVERAGE(K13,K14,K15,K16)</f>
        <v>2</v>
      </c>
      <c r="L12" s="296"/>
      <c r="O12" s="330"/>
      <c r="P12" s="428">
        <f>'[1]Форма.2.4'!P12</f>
        <v>2</v>
      </c>
      <c r="Q12" s="132">
        <v>0</v>
      </c>
      <c r="R12" s="31"/>
      <c r="S12" s="330"/>
      <c r="T12" s="428">
        <f>'[1]Форма.2.4'!T12</f>
        <v>2</v>
      </c>
      <c r="U12" s="132">
        <v>0</v>
      </c>
      <c r="V12" s="31"/>
      <c r="W12" s="330"/>
      <c r="X12" s="428">
        <f>'[1]Форма.2.4'!X12</f>
        <v>2</v>
      </c>
      <c r="Y12" s="132">
        <v>0</v>
      </c>
      <c r="Z12" s="31"/>
      <c r="AA12" s="330"/>
      <c r="AB12" s="428">
        <f>'[1]Форма.2.4'!AB12</f>
        <v>2</v>
      </c>
      <c r="AC12" s="132">
        <v>0</v>
      </c>
      <c r="AD12" s="31"/>
      <c r="AE12" s="330"/>
      <c r="AF12" s="428">
        <f>'[1]Форма.2.4'!AF12</f>
        <v>2</v>
      </c>
      <c r="AG12" s="31"/>
      <c r="AH12" s="31"/>
      <c r="AI12" s="120">
        <f>IF(MIN(AI13:AI16)=0,0,AVERAGE(AI13:AI16))</f>
        <v>2</v>
      </c>
      <c r="AJ12" s="135"/>
      <c r="AK12" s="293" t="s">
        <v>83</v>
      </c>
      <c r="AM12" s="116"/>
      <c r="AN12" s="141" t="s">
        <v>138</v>
      </c>
      <c r="AP12" s="283" t="s">
        <v>284</v>
      </c>
    </row>
    <row r="13" spans="1:42" ht="16.5">
      <c r="A13" s="5"/>
      <c r="B13" s="282" t="s">
        <v>324</v>
      </c>
      <c r="C13" s="453">
        <f>'Форма.2.1'!$P$11</f>
        <v>2</v>
      </c>
      <c r="D13" s="405">
        <v>2</v>
      </c>
      <c r="E13" s="405">
        <v>2</v>
      </c>
      <c r="F13" s="405">
        <v>2</v>
      </c>
      <c r="G13" s="405">
        <v>2</v>
      </c>
      <c r="H13" s="405">
        <v>2</v>
      </c>
      <c r="I13" s="204">
        <f>'Форма.2.1'!K11</f>
        <v>1</v>
      </c>
      <c r="J13" s="129">
        <f>IF(AND(I13=0,N13&lt;&gt;0),0,IF(N13=0,100,I13/N13*100))</f>
        <v>100</v>
      </c>
      <c r="K13" s="118">
        <f>IF(J13=0,1,IF(J13&lt;80,3,IF(J13&gt;120,1,2)))</f>
        <v>2</v>
      </c>
      <c r="L13" s="296"/>
      <c r="M13" s="259">
        <f>'Форма.2.1'!L11</f>
        <v>1</v>
      </c>
      <c r="N13" s="259">
        <f>'Форма.2.1'!M11</f>
        <v>1</v>
      </c>
      <c r="O13" s="434">
        <f>'[1]Форма.2.4'!O13</f>
        <v>100</v>
      </c>
      <c r="P13" s="429">
        <f>'[1]Форма.2.4'!P13</f>
        <v>2</v>
      </c>
      <c r="Q13" s="132">
        <v>0</v>
      </c>
      <c r="R13" s="204">
        <f>N13*(1-0.015)</f>
        <v>0.985</v>
      </c>
      <c r="S13" s="434">
        <f>'[1]Форма.2.4'!S13</f>
        <v>100</v>
      </c>
      <c r="T13" s="429">
        <f>'[1]Форма.2.4'!T13</f>
        <v>2</v>
      </c>
      <c r="U13" s="132">
        <v>0</v>
      </c>
      <c r="V13" s="204">
        <f>R13*(1-0.015)</f>
        <v>0.970225</v>
      </c>
      <c r="W13" s="434">
        <f>'[1]Форма.2.4'!W13</f>
        <v>100</v>
      </c>
      <c r="X13" s="429">
        <f>'[1]Форма.2.4'!X13</f>
        <v>2</v>
      </c>
      <c r="Y13" s="132">
        <v>0</v>
      </c>
      <c r="Z13" s="204">
        <f>V13*(1-0.015)</f>
        <v>0.955671625</v>
      </c>
      <c r="AA13" s="434">
        <f>'[1]Форма.2.4'!AA13</f>
        <v>100</v>
      </c>
      <c r="AB13" s="429">
        <f>'[1]Форма.2.4'!AB13</f>
        <v>2</v>
      </c>
      <c r="AC13" s="132">
        <v>0</v>
      </c>
      <c r="AD13" s="204">
        <f>Z13*(1-0.015)</f>
        <v>0.941336550625</v>
      </c>
      <c r="AE13" s="434">
        <f>'[1]Форма.2.4'!AE13</f>
        <v>100</v>
      </c>
      <c r="AF13" s="429">
        <f>'[1]Форма.2.4'!AF13</f>
        <v>2</v>
      </c>
      <c r="AG13" s="219">
        <f>IF($M13=0,0,AD13*1.015)</f>
        <v>0.955456598884375</v>
      </c>
      <c r="AH13" s="129">
        <v>100</v>
      </c>
      <c r="AI13" s="118">
        <v>2</v>
      </c>
      <c r="AJ13" s="135"/>
      <c r="AK13" s="293" t="s">
        <v>104</v>
      </c>
      <c r="AM13" s="116"/>
      <c r="AN13" s="141" t="s">
        <v>139</v>
      </c>
      <c r="AP13" s="282" t="s">
        <v>285</v>
      </c>
    </row>
    <row r="14" spans="1:42" ht="16.5">
      <c r="A14" s="274"/>
      <c r="B14" s="282" t="s">
        <v>325</v>
      </c>
      <c r="C14" s="453">
        <f>'Форма.2.1'!$P$12</f>
        <v>2</v>
      </c>
      <c r="D14" s="405">
        <v>2</v>
      </c>
      <c r="E14" s="405">
        <v>2</v>
      </c>
      <c r="F14" s="405">
        <v>2</v>
      </c>
      <c r="G14" s="405">
        <v>2</v>
      </c>
      <c r="H14" s="405">
        <v>2</v>
      </c>
      <c r="I14" s="204">
        <f>'Форма.2.1'!K12</f>
        <v>1</v>
      </c>
      <c r="J14" s="129">
        <f>IF(AND(I14=0,N14&lt;&gt;0),0,IF(N14=0,100,I14/N14*100))</f>
        <v>100</v>
      </c>
      <c r="K14" s="118">
        <f>IF(J14=0,1,IF(J14&lt;80,3,IF(J14&gt;120,1,2)))</f>
        <v>2</v>
      </c>
      <c r="L14" s="296"/>
      <c r="M14" s="119">
        <f>'Форма.2.1'!L12</f>
        <v>1</v>
      </c>
      <c r="N14" s="119">
        <f>'Форма.2.1'!M12</f>
        <v>1</v>
      </c>
      <c r="O14" s="434">
        <f>'[1]Форма.2.4'!O14</f>
        <v>100</v>
      </c>
      <c r="P14" s="429">
        <f>'[1]Форма.2.4'!P14</f>
        <v>2</v>
      </c>
      <c r="Q14" s="132">
        <v>0</v>
      </c>
      <c r="R14" s="287">
        <f>N14</f>
        <v>1</v>
      </c>
      <c r="S14" s="434">
        <f>'[1]Форма.2.4'!S14</f>
        <v>100</v>
      </c>
      <c r="T14" s="429">
        <f>'[1]Форма.2.4'!T14</f>
        <v>2</v>
      </c>
      <c r="U14" s="132">
        <v>0</v>
      </c>
      <c r="V14" s="287">
        <f>R14</f>
        <v>1</v>
      </c>
      <c r="W14" s="434">
        <f>'[1]Форма.2.4'!W14</f>
        <v>100</v>
      </c>
      <c r="X14" s="429">
        <f>'[1]Форма.2.4'!X14</f>
        <v>2</v>
      </c>
      <c r="Y14" s="132">
        <v>0</v>
      </c>
      <c r="Z14" s="287">
        <f>V14</f>
        <v>1</v>
      </c>
      <c r="AA14" s="434">
        <f>'[1]Форма.2.4'!AA14</f>
        <v>100</v>
      </c>
      <c r="AB14" s="429">
        <f>'[1]Форма.2.4'!AB14</f>
        <v>2</v>
      </c>
      <c r="AC14" s="132">
        <v>0</v>
      </c>
      <c r="AD14" s="287">
        <f>Z14</f>
        <v>1</v>
      </c>
      <c r="AE14" s="434">
        <f>'[1]Форма.2.4'!AE14</f>
        <v>100</v>
      </c>
      <c r="AF14" s="429">
        <f>'[1]Форма.2.4'!AF14</f>
        <v>2</v>
      </c>
      <c r="AG14" s="219">
        <f>IF($M14=0,0,AD14*1.015)</f>
        <v>1.015</v>
      </c>
      <c r="AH14" s="129">
        <v>98.52216748768474</v>
      </c>
      <c r="AI14" s="118">
        <v>2</v>
      </c>
      <c r="AJ14" s="135"/>
      <c r="AK14" s="293" t="s">
        <v>104</v>
      </c>
      <c r="AM14" s="116"/>
      <c r="AN14" s="141" t="s">
        <v>140</v>
      </c>
      <c r="AP14" s="282" t="s">
        <v>286</v>
      </c>
    </row>
    <row r="15" spans="1:42" ht="16.5">
      <c r="A15" s="5"/>
      <c r="B15" s="282" t="s">
        <v>326</v>
      </c>
      <c r="C15" s="453">
        <f>'Форма.2.1'!$P$13</f>
        <v>2</v>
      </c>
      <c r="D15" s="405">
        <v>2</v>
      </c>
      <c r="E15" s="405">
        <v>2</v>
      </c>
      <c r="F15" s="405">
        <v>2</v>
      </c>
      <c r="G15" s="405">
        <v>2</v>
      </c>
      <c r="H15" s="405">
        <v>2</v>
      </c>
      <c r="I15" s="204">
        <f>'Форма.2.1'!K13</f>
        <v>2</v>
      </c>
      <c r="J15" s="129">
        <f>IF(AND(I15=0,N15&lt;&gt;0),0,IF(N15=0,100,I15/N15*100))</f>
        <v>100</v>
      </c>
      <c r="K15" s="118">
        <f>IF(J15=0,1,IF(J15&lt;80,3,IF(J15&gt;120,1,2)))</f>
        <v>2</v>
      </c>
      <c r="L15" s="296"/>
      <c r="M15" s="119">
        <f>'Форма.2.1'!L13</f>
        <v>2</v>
      </c>
      <c r="N15" s="119">
        <f>'Форма.2.1'!M13</f>
        <v>2</v>
      </c>
      <c r="O15" s="434">
        <f>'[1]Форма.2.4'!O15</f>
        <v>100</v>
      </c>
      <c r="P15" s="429">
        <f>'[1]Форма.2.4'!P15</f>
        <v>2</v>
      </c>
      <c r="Q15" s="132">
        <v>0</v>
      </c>
      <c r="R15" s="204">
        <f>N15*(1-0.015)</f>
        <v>1.97</v>
      </c>
      <c r="S15" s="434">
        <f>'[1]Форма.2.4'!S15</f>
        <v>100</v>
      </c>
      <c r="T15" s="429">
        <f>'[1]Форма.2.4'!T15</f>
        <v>2</v>
      </c>
      <c r="U15" s="132">
        <v>0</v>
      </c>
      <c r="V15" s="204">
        <f>R15*(1-0.015)</f>
        <v>1.94045</v>
      </c>
      <c r="W15" s="434">
        <f>'[1]Форма.2.4'!W15</f>
        <v>100</v>
      </c>
      <c r="X15" s="429">
        <f>'[1]Форма.2.4'!X15</f>
        <v>2</v>
      </c>
      <c r="Y15" s="132">
        <v>0</v>
      </c>
      <c r="Z15" s="204">
        <f>V15*(1-0.015)</f>
        <v>1.91134325</v>
      </c>
      <c r="AA15" s="434">
        <f>'[1]Форма.2.4'!AA15</f>
        <v>100</v>
      </c>
      <c r="AB15" s="429">
        <f>'[1]Форма.2.4'!AB15</f>
        <v>2</v>
      </c>
      <c r="AC15" s="132">
        <v>0</v>
      </c>
      <c r="AD15" s="204">
        <f>Z15*(1-0.015)</f>
        <v>1.88267310125</v>
      </c>
      <c r="AE15" s="434">
        <f>'[1]Форма.2.4'!AE15</f>
        <v>100</v>
      </c>
      <c r="AF15" s="429">
        <f>'[1]Форма.2.4'!AF15</f>
        <v>2</v>
      </c>
      <c r="AG15" s="219">
        <f>IF($M15=0,0,AD15*1.015)</f>
        <v>1.91091319776875</v>
      </c>
      <c r="AH15" s="129">
        <v>98.52216748768474</v>
      </c>
      <c r="AI15" s="118">
        <v>2</v>
      </c>
      <c r="AJ15" s="135"/>
      <c r="AK15" s="293" t="s">
        <v>104</v>
      </c>
      <c r="AM15" s="116"/>
      <c r="AN15" s="141" t="s">
        <v>141</v>
      </c>
      <c r="AP15" s="282" t="s">
        <v>287</v>
      </c>
    </row>
    <row r="16" spans="1:42" ht="17.25" thickBot="1">
      <c r="A16" s="5"/>
      <c r="B16" s="282" t="s">
        <v>327</v>
      </c>
      <c r="C16" s="453">
        <f>'Форма.2.1'!$P$14</f>
        <v>2</v>
      </c>
      <c r="D16" s="405">
        <v>2</v>
      </c>
      <c r="E16" s="405">
        <v>2</v>
      </c>
      <c r="F16" s="405">
        <v>2</v>
      </c>
      <c r="G16" s="405">
        <v>2</v>
      </c>
      <c r="H16" s="405">
        <v>2</v>
      </c>
      <c r="I16" s="204">
        <f>'Форма.2.1'!K14</f>
        <v>7</v>
      </c>
      <c r="J16" s="129">
        <f>IF(AND(I16=0,N16&lt;&gt;0),0,IF(N16=0,100,I16/N16*100))</f>
        <v>100</v>
      </c>
      <c r="K16" s="118">
        <f>IF(J16=0,1,IF(J16&lt;80,3,IF(J16&gt;120,1,2)))</f>
        <v>2</v>
      </c>
      <c r="L16" s="296"/>
      <c r="M16" s="119">
        <f>'Форма.2.1'!L14</f>
        <v>7</v>
      </c>
      <c r="N16" s="119">
        <f>'Форма.2.1'!M14</f>
        <v>7</v>
      </c>
      <c r="O16" s="434">
        <f>'[1]Форма.2.4'!O16</f>
        <v>100</v>
      </c>
      <c r="P16" s="429">
        <f>'[1]Форма.2.4'!P16</f>
        <v>2</v>
      </c>
      <c r="Q16" s="132">
        <v>0</v>
      </c>
      <c r="R16" s="204">
        <f>N16*(1-0.015)</f>
        <v>6.895</v>
      </c>
      <c r="S16" s="434">
        <f>'[1]Форма.2.4'!S16</f>
        <v>100</v>
      </c>
      <c r="T16" s="429">
        <f>'[1]Форма.2.4'!T16</f>
        <v>2</v>
      </c>
      <c r="U16" s="132">
        <v>0</v>
      </c>
      <c r="V16" s="204">
        <f>R16*(1-0.015)</f>
        <v>6.791575</v>
      </c>
      <c r="W16" s="434">
        <f>'[1]Форма.2.4'!W16</f>
        <v>100</v>
      </c>
      <c r="X16" s="429">
        <f>'[1]Форма.2.4'!X16</f>
        <v>2</v>
      </c>
      <c r="Y16" s="132">
        <v>0</v>
      </c>
      <c r="Z16" s="204">
        <f>V16*(1-0.015)</f>
        <v>6.689701374999999</v>
      </c>
      <c r="AA16" s="434">
        <f>'[1]Форма.2.4'!AA16</f>
        <v>100</v>
      </c>
      <c r="AB16" s="429">
        <f>'[1]Форма.2.4'!AB16</f>
        <v>2</v>
      </c>
      <c r="AC16" s="132">
        <v>0</v>
      </c>
      <c r="AD16" s="204">
        <f>Z16*(1-0.015)</f>
        <v>6.5893558543749995</v>
      </c>
      <c r="AE16" s="434">
        <f>'[1]Форма.2.4'!AE16</f>
        <v>100</v>
      </c>
      <c r="AF16" s="429">
        <f>'[1]Форма.2.4'!AF16</f>
        <v>2</v>
      </c>
      <c r="AG16" s="219">
        <f>IF($M16=0,0,AD16*1.015)</f>
        <v>6.688196192190624</v>
      </c>
      <c r="AH16" s="129">
        <v>98.52216748768474</v>
      </c>
      <c r="AI16" s="118">
        <v>2</v>
      </c>
      <c r="AJ16" s="135"/>
      <c r="AK16" s="293" t="s">
        <v>104</v>
      </c>
      <c r="AM16" s="116"/>
      <c r="AN16" s="141" t="s">
        <v>142</v>
      </c>
      <c r="AP16" s="282" t="s">
        <v>288</v>
      </c>
    </row>
    <row r="17" spans="1:42" ht="17.25" thickBot="1">
      <c r="A17" s="17"/>
      <c r="B17" s="455" t="s">
        <v>328</v>
      </c>
      <c r="C17" s="456">
        <v>2</v>
      </c>
      <c r="D17" s="457">
        <v>2</v>
      </c>
      <c r="E17" s="457">
        <v>2</v>
      </c>
      <c r="F17" s="457">
        <v>2</v>
      </c>
      <c r="G17" s="457">
        <v>2</v>
      </c>
      <c r="H17" s="457">
        <v>2</v>
      </c>
      <c r="I17" s="31"/>
      <c r="J17" s="31"/>
      <c r="K17" s="121">
        <f>AVERAGE(K18,K19,K20)</f>
        <v>2</v>
      </c>
      <c r="L17" s="296"/>
      <c r="O17" s="330"/>
      <c r="P17" s="430">
        <f>'[1]Форма.2.4'!P17</f>
        <v>2</v>
      </c>
      <c r="Q17" s="116">
        <v>0</v>
      </c>
      <c r="R17" s="31"/>
      <c r="S17" s="330"/>
      <c r="T17" s="430">
        <f>'[1]Форма.2.4'!T17</f>
        <v>2</v>
      </c>
      <c r="U17" s="132">
        <v>0</v>
      </c>
      <c r="V17" s="31"/>
      <c r="W17" s="330"/>
      <c r="X17" s="430">
        <f>'[1]Форма.2.4'!X17</f>
        <v>2</v>
      </c>
      <c r="Y17" s="132">
        <v>0</v>
      </c>
      <c r="Z17" s="31"/>
      <c r="AA17" s="330"/>
      <c r="AB17" s="430">
        <f>'[1]Форма.2.4'!AB17</f>
        <v>2</v>
      </c>
      <c r="AC17" s="132">
        <v>0</v>
      </c>
      <c r="AD17" s="31"/>
      <c r="AE17" s="330"/>
      <c r="AF17" s="430">
        <f>'[1]Форма.2.4'!AF17</f>
        <v>2</v>
      </c>
      <c r="AG17" s="31"/>
      <c r="AH17" s="31"/>
      <c r="AI17" s="121">
        <v>2</v>
      </c>
      <c r="AJ17" s="135"/>
      <c r="AK17" s="293" t="s">
        <v>103</v>
      </c>
      <c r="AM17" s="116"/>
      <c r="AN17" s="141" t="s">
        <v>143</v>
      </c>
      <c r="AP17" s="284" t="s">
        <v>308</v>
      </c>
    </row>
    <row r="18" spans="1:42" ht="16.5">
      <c r="A18" s="274"/>
      <c r="B18" s="282" t="s">
        <v>329</v>
      </c>
      <c r="C18" s="453">
        <f>'Форма.2.1'!$P$16</f>
        <v>2</v>
      </c>
      <c r="D18" s="405">
        <v>2</v>
      </c>
      <c r="E18" s="405">
        <v>2</v>
      </c>
      <c r="F18" s="405">
        <v>2</v>
      </c>
      <c r="G18" s="405">
        <v>2</v>
      </c>
      <c r="H18" s="405">
        <v>2</v>
      </c>
      <c r="I18" s="204">
        <f>'Форма.2.1'!K16</f>
        <v>1</v>
      </c>
      <c r="J18" s="129">
        <f>IF(AND(I18=0,N18&lt;&gt;0),0,IF(N18=0,100,I18/N18*100))</f>
        <v>100</v>
      </c>
      <c r="K18" s="118">
        <f>IF(J18&lt;80,3,IF(J18&gt;120,1,2))</f>
        <v>2</v>
      </c>
      <c r="L18" s="296"/>
      <c r="M18" s="119">
        <f>'Форма.2.1'!L16</f>
        <v>1</v>
      </c>
      <c r="N18" s="119">
        <f>'Форма.2.1'!M16</f>
        <v>1</v>
      </c>
      <c r="O18" s="434">
        <f>'[1]Форма.2.4'!O18</f>
        <v>100</v>
      </c>
      <c r="P18" s="429">
        <f>'[1]Форма.2.4'!P18</f>
        <v>2</v>
      </c>
      <c r="Q18" s="132">
        <v>0</v>
      </c>
      <c r="R18" s="287">
        <f>N18</f>
        <v>1</v>
      </c>
      <c r="S18" s="434">
        <f>'[1]Форма.2.4'!S18</f>
        <v>100</v>
      </c>
      <c r="T18" s="429">
        <f>'[1]Форма.2.4'!T18</f>
        <v>2</v>
      </c>
      <c r="U18" s="132">
        <v>0</v>
      </c>
      <c r="V18" s="287">
        <f>R18</f>
        <v>1</v>
      </c>
      <c r="W18" s="434">
        <f>'[1]Форма.2.4'!W18</f>
        <v>100</v>
      </c>
      <c r="X18" s="429">
        <f>'[1]Форма.2.4'!X18</f>
        <v>2</v>
      </c>
      <c r="Y18" s="132">
        <v>0</v>
      </c>
      <c r="Z18" s="287">
        <f>V18</f>
        <v>1</v>
      </c>
      <c r="AA18" s="434">
        <f>'[1]Форма.2.4'!AA18</f>
        <v>100</v>
      </c>
      <c r="AB18" s="429">
        <f>'[1]Форма.2.4'!AB18</f>
        <v>2</v>
      </c>
      <c r="AC18" s="132">
        <v>0</v>
      </c>
      <c r="AD18" s="287">
        <f>Z18</f>
        <v>1</v>
      </c>
      <c r="AE18" s="434">
        <f>'[1]Форма.2.4'!AE18</f>
        <v>100</v>
      </c>
      <c r="AF18" s="429">
        <f>'[1]Форма.2.4'!AF18</f>
        <v>2</v>
      </c>
      <c r="AG18" s="219">
        <f>$N$18</f>
        <v>1</v>
      </c>
      <c r="AH18" s="129">
        <v>100</v>
      </c>
      <c r="AI18" s="118">
        <v>2</v>
      </c>
      <c r="AJ18" s="135"/>
      <c r="AK18" s="293" t="s">
        <v>83</v>
      </c>
      <c r="AM18" s="116"/>
      <c r="AN18" s="141" t="s">
        <v>144</v>
      </c>
      <c r="AP18" s="282" t="s">
        <v>289</v>
      </c>
    </row>
    <row r="19" spans="1:42" ht="16.5">
      <c r="A19" s="274"/>
      <c r="B19" s="282" t="s">
        <v>330</v>
      </c>
      <c r="C19" s="453">
        <f>'Форма.2.1'!$P$17</f>
        <v>2</v>
      </c>
      <c r="D19" s="405">
        <v>2</v>
      </c>
      <c r="E19" s="405">
        <v>2</v>
      </c>
      <c r="F19" s="405">
        <v>2</v>
      </c>
      <c r="G19" s="405">
        <v>2</v>
      </c>
      <c r="H19" s="405">
        <v>2</v>
      </c>
      <c r="I19" s="204">
        <f>'Форма.2.1'!K17</f>
        <v>0</v>
      </c>
      <c r="J19" s="129">
        <f>IF(AND(I19=0,N19&lt;&gt;0),0,IF(N19=0,100,I19/N19*100))</f>
        <v>100</v>
      </c>
      <c r="K19" s="118">
        <f>IF(J19=0,1,IF(J19&lt;80,3,IF(J19&gt;120,1,2)))</f>
        <v>2</v>
      </c>
      <c r="L19" s="296"/>
      <c r="M19" s="119">
        <f>'Форма.2.1'!L17</f>
        <v>0</v>
      </c>
      <c r="N19" s="119">
        <f>'Форма.2.1'!M17</f>
        <v>0</v>
      </c>
      <c r="O19" s="434">
        <f>'[1]Форма.2.4'!O19</f>
        <v>100</v>
      </c>
      <c r="P19" s="429">
        <f>'[1]Форма.2.4'!P19</f>
        <v>2</v>
      </c>
      <c r="Q19" s="132">
        <v>0</v>
      </c>
      <c r="R19" s="287">
        <f>N19</f>
        <v>0</v>
      </c>
      <c r="S19" s="434">
        <f>'[1]Форма.2.4'!S19</f>
        <v>100</v>
      </c>
      <c r="T19" s="429">
        <f>'[1]Форма.2.4'!T19</f>
        <v>2</v>
      </c>
      <c r="U19" s="132">
        <v>0</v>
      </c>
      <c r="V19" s="287">
        <f>R19</f>
        <v>0</v>
      </c>
      <c r="W19" s="434">
        <f>'[1]Форма.2.4'!W19</f>
        <v>100</v>
      </c>
      <c r="X19" s="429">
        <f>'[1]Форма.2.4'!X19</f>
        <v>2</v>
      </c>
      <c r="Y19" s="132">
        <v>0</v>
      </c>
      <c r="Z19" s="287">
        <f>V19</f>
        <v>0</v>
      </c>
      <c r="AA19" s="434">
        <f>'[1]Форма.2.4'!AA19</f>
        <v>100</v>
      </c>
      <c r="AB19" s="429">
        <f>'[1]Форма.2.4'!AB19</f>
        <v>2</v>
      </c>
      <c r="AC19" s="132">
        <v>0</v>
      </c>
      <c r="AD19" s="287">
        <f>Z19</f>
        <v>0</v>
      </c>
      <c r="AE19" s="434">
        <f>'[1]Форма.2.4'!AE19</f>
        <v>100</v>
      </c>
      <c r="AF19" s="429">
        <f>'[1]Форма.2.4'!AF19</f>
        <v>2</v>
      </c>
      <c r="AG19" s="219">
        <f>$N$19</f>
        <v>0</v>
      </c>
      <c r="AH19" s="129">
        <v>100</v>
      </c>
      <c r="AI19" s="118">
        <v>2</v>
      </c>
      <c r="AJ19" s="135"/>
      <c r="AK19" s="293" t="s">
        <v>83</v>
      </c>
      <c r="AM19" s="116"/>
      <c r="AN19" s="141" t="s">
        <v>145</v>
      </c>
      <c r="AP19" s="282" t="s">
        <v>290</v>
      </c>
    </row>
    <row r="20" spans="1:42" ht="16.5">
      <c r="A20" s="274"/>
      <c r="B20" s="282" t="s">
        <v>331</v>
      </c>
      <c r="C20" s="453">
        <f>'Форма.2.1'!$P$18</f>
        <v>2</v>
      </c>
      <c r="D20" s="405">
        <v>2</v>
      </c>
      <c r="E20" s="405">
        <v>2</v>
      </c>
      <c r="F20" s="405">
        <v>2</v>
      </c>
      <c r="G20" s="405">
        <v>2</v>
      </c>
      <c r="H20" s="405">
        <v>2</v>
      </c>
      <c r="I20" s="204">
        <f>'Форма.2.1'!K18</f>
        <v>0</v>
      </c>
      <c r="J20" s="129">
        <f>IF(AND(I20=0,N20&lt;&gt;0),0,IF(N20=0,100,I20/N20*100))</f>
        <v>100</v>
      </c>
      <c r="K20" s="118">
        <f>IF(J20=0,1,IF(J20&lt;80,3,IF(J20&gt;120,1,2)))</f>
        <v>2</v>
      </c>
      <c r="L20" s="296"/>
      <c r="M20" s="119">
        <f>'Форма.2.1'!L18</f>
        <v>0</v>
      </c>
      <c r="N20" s="119">
        <f>'Форма.2.1'!M18</f>
        <v>0</v>
      </c>
      <c r="O20" s="434">
        <f>'[1]Форма.2.4'!O20</f>
        <v>100</v>
      </c>
      <c r="P20" s="429">
        <f>'[1]Форма.2.4'!P20</f>
        <v>2</v>
      </c>
      <c r="Q20" s="132">
        <v>0</v>
      </c>
      <c r="R20" s="287">
        <f>N20</f>
        <v>0</v>
      </c>
      <c r="S20" s="434">
        <f>'[1]Форма.2.4'!S20</f>
        <v>100</v>
      </c>
      <c r="T20" s="429">
        <f>'[1]Форма.2.4'!T20</f>
        <v>2</v>
      </c>
      <c r="U20" s="132">
        <v>0</v>
      </c>
      <c r="V20" s="287">
        <f>R20</f>
        <v>0</v>
      </c>
      <c r="W20" s="434">
        <f>'[1]Форма.2.4'!W20</f>
        <v>100</v>
      </c>
      <c r="X20" s="429">
        <f>'[1]Форма.2.4'!X20</f>
        <v>2</v>
      </c>
      <c r="Y20" s="132">
        <v>0</v>
      </c>
      <c r="Z20" s="287">
        <f>V20</f>
        <v>0</v>
      </c>
      <c r="AA20" s="434">
        <f>'[1]Форма.2.4'!AA20</f>
        <v>100</v>
      </c>
      <c r="AB20" s="429">
        <f>'[1]Форма.2.4'!AB20</f>
        <v>2</v>
      </c>
      <c r="AC20" s="132">
        <v>0</v>
      </c>
      <c r="AD20" s="287">
        <f>Z20</f>
        <v>0</v>
      </c>
      <c r="AE20" s="434">
        <f>'[1]Форма.2.4'!AE20</f>
        <v>100</v>
      </c>
      <c r="AF20" s="429">
        <f>'[1]Форма.2.4'!AF20</f>
        <v>2</v>
      </c>
      <c r="AG20" s="219">
        <f>$N$20</f>
        <v>0</v>
      </c>
      <c r="AH20" s="129">
        <v>100</v>
      </c>
      <c r="AI20" s="118">
        <v>2</v>
      </c>
      <c r="AJ20" s="135"/>
      <c r="AK20" s="293" t="s">
        <v>83</v>
      </c>
      <c r="AM20" s="116"/>
      <c r="AN20" s="141" t="s">
        <v>146</v>
      </c>
      <c r="AP20" s="282" t="s">
        <v>291</v>
      </c>
    </row>
    <row r="21" spans="1:42" ht="16.5">
      <c r="A21" s="274"/>
      <c r="B21" s="282" t="s">
        <v>332</v>
      </c>
      <c r="C21" s="453">
        <f>'Форма.2.1'!$P$19</f>
        <v>2</v>
      </c>
      <c r="D21" s="405">
        <v>2</v>
      </c>
      <c r="E21" s="405">
        <v>2</v>
      </c>
      <c r="F21" s="405">
        <v>2</v>
      </c>
      <c r="G21" s="405">
        <v>2</v>
      </c>
      <c r="H21" s="405">
        <v>2</v>
      </c>
      <c r="I21" s="204">
        <f>'Форма.2.1'!K19</f>
        <v>1</v>
      </c>
      <c r="J21" s="129">
        <f>IF(AND(I21=0,N21&lt;&gt;0),0,IF(N21=0,100,I21/N21*100))</f>
        <v>100</v>
      </c>
      <c r="K21" s="199">
        <f>IF(J21=0,1,IF(J21&lt;80,3,IF(J21&gt;120,1,2)))</f>
        <v>2</v>
      </c>
      <c r="L21" s="296"/>
      <c r="M21" s="119">
        <f>'Форма.2.1'!L19</f>
        <v>1</v>
      </c>
      <c r="N21" s="119">
        <f>'Форма.2.1'!M19</f>
        <v>1</v>
      </c>
      <c r="O21" s="434">
        <f>'[1]Форма.2.4'!O21</f>
        <v>100</v>
      </c>
      <c r="P21" s="428">
        <f>'[1]Форма.2.4'!P21</f>
        <v>2</v>
      </c>
      <c r="Q21" s="116">
        <v>0</v>
      </c>
      <c r="R21" s="287">
        <f>N21</f>
        <v>1</v>
      </c>
      <c r="S21" s="434">
        <f>'[1]Форма.2.4'!S21</f>
        <v>100</v>
      </c>
      <c r="T21" s="428">
        <f>'[1]Форма.2.4'!T21</f>
        <v>2</v>
      </c>
      <c r="U21" s="132">
        <v>0</v>
      </c>
      <c r="V21" s="287">
        <f>R21</f>
        <v>1</v>
      </c>
      <c r="W21" s="434">
        <f>'[1]Форма.2.4'!W21</f>
        <v>100</v>
      </c>
      <c r="X21" s="428">
        <f>'[1]Форма.2.4'!X21</f>
        <v>2</v>
      </c>
      <c r="Y21" s="132">
        <v>0</v>
      </c>
      <c r="Z21" s="287">
        <f>V21</f>
        <v>1</v>
      </c>
      <c r="AA21" s="434">
        <f>'[1]Форма.2.4'!AA21</f>
        <v>100</v>
      </c>
      <c r="AB21" s="428">
        <f>'[1]Форма.2.4'!AB21</f>
        <v>2</v>
      </c>
      <c r="AC21" s="132">
        <v>0</v>
      </c>
      <c r="AD21" s="287">
        <f>Z21</f>
        <v>1</v>
      </c>
      <c r="AE21" s="434">
        <f>'[1]Форма.2.4'!AE21</f>
        <v>100</v>
      </c>
      <c r="AF21" s="428">
        <f>'[1]Форма.2.4'!AF21</f>
        <v>2</v>
      </c>
      <c r="AG21" s="219">
        <f>$N$21</f>
        <v>1</v>
      </c>
      <c r="AH21" s="129">
        <v>100</v>
      </c>
      <c r="AI21" s="199">
        <v>2</v>
      </c>
      <c r="AJ21" s="135"/>
      <c r="AK21" s="293" t="s">
        <v>83</v>
      </c>
      <c r="AM21" s="116"/>
      <c r="AN21" s="141" t="s">
        <v>147</v>
      </c>
      <c r="AP21" s="282" t="s">
        <v>292</v>
      </c>
    </row>
    <row r="22" spans="1:42" ht="17.25" thickBot="1">
      <c r="A22" s="274"/>
      <c r="B22" s="282" t="s">
        <v>333</v>
      </c>
      <c r="C22" s="453">
        <f>'Форма.2.1'!$P$20</f>
        <v>2</v>
      </c>
      <c r="D22" s="405">
        <v>2</v>
      </c>
      <c r="E22" s="405">
        <v>2</v>
      </c>
      <c r="F22" s="405">
        <v>2</v>
      </c>
      <c r="G22" s="405">
        <v>2</v>
      </c>
      <c r="H22" s="405">
        <v>2</v>
      </c>
      <c r="I22" s="204">
        <f>'Форма.2.1'!K20</f>
        <v>1</v>
      </c>
      <c r="J22" s="129">
        <f>IF(AND(I22=0,N22&lt;&gt;0),0,IF(N22=0,100,I22/N22*100))</f>
        <v>100</v>
      </c>
      <c r="K22" s="199">
        <f>IF(J22=0,1,IF(J22&lt;80,3,IF(J22&gt;120,1,2)))</f>
        <v>2</v>
      </c>
      <c r="L22" s="296"/>
      <c r="M22" s="119">
        <f>'Форма.2.1'!L20</f>
        <v>1</v>
      </c>
      <c r="N22" s="119">
        <f>'Форма.2.1'!M20</f>
        <v>1</v>
      </c>
      <c r="O22" s="434">
        <f>'[1]Форма.2.4'!O22</f>
        <v>100</v>
      </c>
      <c r="P22" s="428">
        <f>'[1]Форма.2.4'!P22</f>
        <v>2</v>
      </c>
      <c r="Q22" s="116">
        <v>0</v>
      </c>
      <c r="R22" s="287">
        <f>N22</f>
        <v>1</v>
      </c>
      <c r="S22" s="434">
        <f>'[1]Форма.2.4'!S22</f>
        <v>100</v>
      </c>
      <c r="T22" s="428">
        <f>'[1]Форма.2.4'!T22</f>
        <v>2</v>
      </c>
      <c r="U22" s="132">
        <v>0</v>
      </c>
      <c r="V22" s="287">
        <f>R22</f>
        <v>1</v>
      </c>
      <c r="W22" s="434">
        <f>'[1]Форма.2.4'!W22</f>
        <v>100</v>
      </c>
      <c r="X22" s="428">
        <f>'[1]Форма.2.4'!X22</f>
        <v>2</v>
      </c>
      <c r="Y22" s="132">
        <v>0</v>
      </c>
      <c r="Z22" s="287">
        <f>V22</f>
        <v>1</v>
      </c>
      <c r="AA22" s="434">
        <f>'[1]Форма.2.4'!AA22</f>
        <v>100</v>
      </c>
      <c r="AB22" s="428">
        <f>'[1]Форма.2.4'!AB22</f>
        <v>2</v>
      </c>
      <c r="AC22" s="132">
        <v>0</v>
      </c>
      <c r="AD22" s="287">
        <f>Z22</f>
        <v>1</v>
      </c>
      <c r="AE22" s="434">
        <f>'[1]Форма.2.4'!AE22</f>
        <v>100</v>
      </c>
      <c r="AF22" s="428">
        <f>'[1]Форма.2.4'!AF22</f>
        <v>2</v>
      </c>
      <c r="AG22" s="219">
        <f>$N$22</f>
        <v>1</v>
      </c>
      <c r="AH22" s="129">
        <v>100</v>
      </c>
      <c r="AI22" s="199">
        <v>2</v>
      </c>
      <c r="AJ22" s="135"/>
      <c r="AK22" s="293" t="s">
        <v>83</v>
      </c>
      <c r="AM22" s="116"/>
      <c r="AN22" s="141" t="s">
        <v>148</v>
      </c>
      <c r="AP22" s="282" t="s">
        <v>293</v>
      </c>
    </row>
    <row r="23" spans="1:42" ht="17.25" thickBot="1">
      <c r="A23" s="17"/>
      <c r="B23" s="283" t="s">
        <v>334</v>
      </c>
      <c r="C23" s="453">
        <v>2</v>
      </c>
      <c r="D23" s="457">
        <v>2</v>
      </c>
      <c r="E23" s="457">
        <v>2</v>
      </c>
      <c r="F23" s="457">
        <v>2</v>
      </c>
      <c r="G23" s="457">
        <v>2</v>
      </c>
      <c r="H23" s="457">
        <v>2</v>
      </c>
      <c r="I23" s="31"/>
      <c r="J23" s="31"/>
      <c r="K23" s="117">
        <f>K24</f>
        <v>2</v>
      </c>
      <c r="L23" s="296"/>
      <c r="O23" s="330"/>
      <c r="P23" s="430">
        <f>'[1]Форма.2.4'!P23</f>
        <v>2</v>
      </c>
      <c r="Q23" s="116">
        <v>0</v>
      </c>
      <c r="R23" s="31"/>
      <c r="S23" s="330"/>
      <c r="T23" s="430">
        <f>'[1]Форма.2.4'!T23</f>
        <v>2</v>
      </c>
      <c r="U23" s="132">
        <v>0</v>
      </c>
      <c r="V23" s="31"/>
      <c r="W23" s="330"/>
      <c r="X23" s="430">
        <f>'[1]Форма.2.4'!X23</f>
        <v>2</v>
      </c>
      <c r="Y23" s="132">
        <v>0</v>
      </c>
      <c r="Z23" s="31"/>
      <c r="AA23" s="330"/>
      <c r="AB23" s="430">
        <f>'[1]Форма.2.4'!AB23</f>
        <v>2</v>
      </c>
      <c r="AC23" s="132">
        <v>0</v>
      </c>
      <c r="AD23" s="31"/>
      <c r="AE23" s="330"/>
      <c r="AF23" s="430">
        <f>'[1]Форма.2.4'!AF23</f>
        <v>2</v>
      </c>
      <c r="AG23" s="31"/>
      <c r="AH23" s="31"/>
      <c r="AI23" s="117">
        <v>2</v>
      </c>
      <c r="AJ23" s="135"/>
      <c r="AK23" s="293" t="s">
        <v>82</v>
      </c>
      <c r="AM23" s="116"/>
      <c r="AN23" s="141" t="s">
        <v>149</v>
      </c>
      <c r="AP23" s="283" t="s">
        <v>307</v>
      </c>
    </row>
    <row r="24" spans="1:42" ht="17.25" thickBot="1">
      <c r="A24" s="5"/>
      <c r="B24" s="282" t="s">
        <v>335</v>
      </c>
      <c r="C24" s="453">
        <f>'Форма.2.1'!$P$22</f>
        <v>2</v>
      </c>
      <c r="D24" s="405">
        <v>2</v>
      </c>
      <c r="E24" s="405">
        <v>2</v>
      </c>
      <c r="F24" s="405">
        <v>2</v>
      </c>
      <c r="G24" s="405">
        <v>2</v>
      </c>
      <c r="H24" s="405">
        <v>2</v>
      </c>
      <c r="I24" s="204">
        <f>'Форма.2.1'!K22</f>
        <v>7</v>
      </c>
      <c r="J24" s="129">
        <f>IF(AND(I24=0,N24&lt;&gt;0),0,IF(N24=0,100,I24/N24*100))</f>
        <v>100</v>
      </c>
      <c r="K24" s="118">
        <f>IF(J24&gt;120,3,IF(J19&lt;80,1,2))</f>
        <v>2</v>
      </c>
      <c r="L24" s="296"/>
      <c r="M24" s="119">
        <f>'Форма.2.1'!L22</f>
        <v>7</v>
      </c>
      <c r="N24" s="119">
        <f>'Форма.2.1'!M22</f>
        <v>7</v>
      </c>
      <c r="O24" s="434">
        <f>'[1]Форма.2.4'!O24</f>
        <v>100</v>
      </c>
      <c r="P24" s="435">
        <f>'[1]Форма.2.4'!P24</f>
        <v>2</v>
      </c>
      <c r="Q24" s="132">
        <v>0</v>
      </c>
      <c r="R24" s="204">
        <f>N24*(1-0.015)</f>
        <v>6.895</v>
      </c>
      <c r="S24" s="434">
        <f>'[1]Форма.2.4'!S24</f>
        <v>100</v>
      </c>
      <c r="T24" s="435">
        <f>'[1]Форма.2.4'!T24</f>
        <v>2</v>
      </c>
      <c r="U24" s="132">
        <v>0</v>
      </c>
      <c r="V24" s="204">
        <f>R24*(1-0.015)</f>
        <v>6.791575</v>
      </c>
      <c r="W24" s="434">
        <f>'[1]Форма.2.4'!W24</f>
        <v>100</v>
      </c>
      <c r="X24" s="435">
        <f>'[1]Форма.2.4'!X24</f>
        <v>2</v>
      </c>
      <c r="Y24" s="132">
        <v>0</v>
      </c>
      <c r="Z24" s="204">
        <f>V24*(1-0.015)</f>
        <v>6.689701374999999</v>
      </c>
      <c r="AA24" s="434">
        <f>'[1]Форма.2.4'!AA24</f>
        <v>100</v>
      </c>
      <c r="AB24" s="435">
        <f>'[1]Форма.2.4'!AB24</f>
        <v>2</v>
      </c>
      <c r="AC24" s="132">
        <v>0</v>
      </c>
      <c r="AD24" s="204">
        <f>Z24*(1-0.015)</f>
        <v>6.5893558543749995</v>
      </c>
      <c r="AE24" s="434">
        <f>'[1]Форма.2.4'!AE24</f>
        <v>100</v>
      </c>
      <c r="AF24" s="435">
        <f>'[1]Форма.2.4'!AF24</f>
        <v>2</v>
      </c>
      <c r="AG24" s="219">
        <f>IF($M24=0,0,AD24*0.985)</f>
        <v>6.490515516559374</v>
      </c>
      <c r="AH24" s="129">
        <v>100</v>
      </c>
      <c r="AI24" s="118">
        <v>2</v>
      </c>
      <c r="AJ24" s="135"/>
      <c r="AK24" s="293" t="s">
        <v>74</v>
      </c>
      <c r="AM24" s="116"/>
      <c r="AN24" s="141" t="s">
        <v>150</v>
      </c>
      <c r="AP24" s="282" t="s">
        <v>303</v>
      </c>
    </row>
    <row r="25" spans="1:42" ht="17.25" thickBot="1">
      <c r="A25" s="17"/>
      <c r="B25" s="455" t="s">
        <v>336</v>
      </c>
      <c r="C25" s="458">
        <v>2</v>
      </c>
      <c r="D25" s="457">
        <v>2</v>
      </c>
      <c r="E25" s="457">
        <v>2</v>
      </c>
      <c r="F25" s="457">
        <v>2</v>
      </c>
      <c r="G25" s="457">
        <v>2</v>
      </c>
      <c r="H25" s="457">
        <v>2</v>
      </c>
      <c r="I25" s="31"/>
      <c r="J25" s="31"/>
      <c r="K25" s="22">
        <f>AVERAGE(K26:K27)</f>
        <v>2</v>
      </c>
      <c r="L25" s="296"/>
      <c r="O25" s="330"/>
      <c r="P25" s="430">
        <f>'[1]Форма.2.4'!P25</f>
        <v>2</v>
      </c>
      <c r="Q25" s="116">
        <v>0</v>
      </c>
      <c r="R25" s="31"/>
      <c r="S25" s="330"/>
      <c r="T25" s="430">
        <f>'[1]Форма.2.4'!T25</f>
        <v>2</v>
      </c>
      <c r="U25" s="132">
        <v>0</v>
      </c>
      <c r="V25" s="31"/>
      <c r="W25" s="330"/>
      <c r="X25" s="430">
        <f>'[1]Форма.2.4'!X25</f>
        <v>2</v>
      </c>
      <c r="Y25" s="132">
        <v>0</v>
      </c>
      <c r="Z25" s="31"/>
      <c r="AA25" s="330"/>
      <c r="AB25" s="430">
        <f>'[1]Форма.2.4'!AB25</f>
        <v>2</v>
      </c>
      <c r="AC25" s="132">
        <v>0</v>
      </c>
      <c r="AD25" s="31"/>
      <c r="AE25" s="330"/>
      <c r="AF25" s="430">
        <f>'[1]Форма.2.4'!AF25</f>
        <v>2</v>
      </c>
      <c r="AG25" s="31"/>
      <c r="AH25" s="31"/>
      <c r="AI25" s="22">
        <v>2</v>
      </c>
      <c r="AJ25" s="135"/>
      <c r="AK25" s="293" t="s">
        <v>103</v>
      </c>
      <c r="AM25" s="116"/>
      <c r="AN25" s="141" t="s">
        <v>151</v>
      </c>
      <c r="AP25" s="284" t="s">
        <v>306</v>
      </c>
    </row>
    <row r="26" spans="1:42" ht="16.5">
      <c r="A26" s="5"/>
      <c r="B26" s="282" t="s">
        <v>337</v>
      </c>
      <c r="C26" s="453">
        <f>'Форма.2.1'!$P$24</f>
        <v>2</v>
      </c>
      <c r="D26" s="405">
        <v>2</v>
      </c>
      <c r="E26" s="405">
        <v>2</v>
      </c>
      <c r="F26" s="405">
        <v>2</v>
      </c>
      <c r="G26" s="405">
        <v>2</v>
      </c>
      <c r="H26" s="405">
        <v>2</v>
      </c>
      <c r="I26" s="204">
        <f>'Форма.2.1'!K24</f>
        <v>0</v>
      </c>
      <c r="J26" s="211">
        <f>'Форма.2.1'!N24</f>
        <v>100</v>
      </c>
      <c r="K26" s="118">
        <f>IF(J26&gt;120,3,IF(J19&lt;80,1,2))</f>
        <v>2</v>
      </c>
      <c r="L26" s="296"/>
      <c r="M26" s="119">
        <f>'Форма.2.1'!L24</f>
        <v>0</v>
      </c>
      <c r="N26" s="119">
        <f>'Форма.2.1'!M24</f>
        <v>0</v>
      </c>
      <c r="O26" s="434">
        <f>'[1]Форма.2.4'!O26</f>
        <v>100</v>
      </c>
      <c r="P26" s="435">
        <f>'[1]Форма.2.4'!P26</f>
        <v>2</v>
      </c>
      <c r="Q26" s="132">
        <v>0</v>
      </c>
      <c r="R26" s="204">
        <f>N26*(1-0.015)</f>
        <v>0</v>
      </c>
      <c r="S26" s="434">
        <f>'[1]Форма.2.4'!S26</f>
        <v>100</v>
      </c>
      <c r="T26" s="435">
        <f>'[1]Форма.2.4'!T26</f>
        <v>2</v>
      </c>
      <c r="U26" s="132">
        <v>0</v>
      </c>
      <c r="V26" s="204">
        <f>R26*(1-0.015)</f>
        <v>0</v>
      </c>
      <c r="W26" s="434">
        <f>'[1]Форма.2.4'!W26</f>
        <v>100</v>
      </c>
      <c r="X26" s="435">
        <f>'[1]Форма.2.4'!X26</f>
        <v>2</v>
      </c>
      <c r="Y26" s="132">
        <v>0</v>
      </c>
      <c r="Z26" s="204">
        <f>V26*(1-0.015)</f>
        <v>0</v>
      </c>
      <c r="AA26" s="434">
        <f>'[1]Форма.2.4'!AA26</f>
        <v>100</v>
      </c>
      <c r="AB26" s="435">
        <f>'[1]Форма.2.4'!AB26</f>
        <v>2</v>
      </c>
      <c r="AC26" s="132">
        <v>0</v>
      </c>
      <c r="AD26" s="204">
        <f>Z26*(1-0.015)</f>
        <v>0</v>
      </c>
      <c r="AE26" s="434">
        <f>'[1]Форма.2.4'!AE26</f>
        <v>100</v>
      </c>
      <c r="AF26" s="435">
        <f>'[1]Форма.2.4'!AF26</f>
        <v>2</v>
      </c>
      <c r="AG26" s="219">
        <f>IF($M26=0,0,AD26*0.985)</f>
        <v>0</v>
      </c>
      <c r="AH26" s="129">
        <v>100</v>
      </c>
      <c r="AI26" s="118">
        <v>2</v>
      </c>
      <c r="AJ26" s="135"/>
      <c r="AK26" s="293" t="s">
        <v>82</v>
      </c>
      <c r="AM26" s="116"/>
      <c r="AN26" s="141" t="s">
        <v>152</v>
      </c>
      <c r="AP26" s="282" t="s">
        <v>304</v>
      </c>
    </row>
    <row r="27" spans="1:42" ht="17.25" thickBot="1">
      <c r="A27" s="5"/>
      <c r="B27" s="282" t="s">
        <v>338</v>
      </c>
      <c r="C27" s="453">
        <f>'Форма.2.1'!$P$25</f>
        <v>2</v>
      </c>
      <c r="D27" s="405">
        <v>2</v>
      </c>
      <c r="E27" s="405">
        <v>2</v>
      </c>
      <c r="F27" s="405">
        <v>2</v>
      </c>
      <c r="G27" s="405">
        <v>2</v>
      </c>
      <c r="H27" s="405">
        <v>2</v>
      </c>
      <c r="I27" s="204">
        <f>'Форма.2.1'!K25</f>
        <v>0</v>
      </c>
      <c r="J27" s="211">
        <f>'Форма.2.1'!N25</f>
        <v>100</v>
      </c>
      <c r="K27" s="118">
        <f>IF(J27&gt;120,3,IF(J19&lt;80,1,2))</f>
        <v>2</v>
      </c>
      <c r="L27" s="296"/>
      <c r="M27" s="119">
        <f>'Форма.2.1'!L25</f>
        <v>0</v>
      </c>
      <c r="N27" s="119">
        <f>'Форма.2.1'!M25</f>
        <v>0</v>
      </c>
      <c r="O27" s="434">
        <f>'[1]Форма.2.4'!O27</f>
        <v>100</v>
      </c>
      <c r="P27" s="435">
        <f>'[1]Форма.2.4'!P27</f>
        <v>2</v>
      </c>
      <c r="Q27" s="132">
        <v>0</v>
      </c>
      <c r="R27" s="204">
        <f>N27*(1-0.015)</f>
        <v>0</v>
      </c>
      <c r="S27" s="434">
        <f>'[1]Форма.2.4'!S27</f>
        <v>100</v>
      </c>
      <c r="T27" s="435">
        <f>'[1]Форма.2.4'!T27</f>
        <v>2</v>
      </c>
      <c r="U27" s="132">
        <v>0</v>
      </c>
      <c r="V27" s="204">
        <f>R27*(1-0.015)</f>
        <v>0</v>
      </c>
      <c r="W27" s="434">
        <f>'[1]Форма.2.4'!W27</f>
        <v>100</v>
      </c>
      <c r="X27" s="435">
        <f>'[1]Форма.2.4'!X27</f>
        <v>2</v>
      </c>
      <c r="Y27" s="132">
        <v>0</v>
      </c>
      <c r="Z27" s="204">
        <f>V27*(1-0.015)</f>
        <v>0</v>
      </c>
      <c r="AA27" s="434">
        <f>'[1]Форма.2.4'!AA27</f>
        <v>100</v>
      </c>
      <c r="AB27" s="435">
        <f>'[1]Форма.2.4'!AB27</f>
        <v>2</v>
      </c>
      <c r="AC27" s="132">
        <v>0</v>
      </c>
      <c r="AD27" s="204">
        <f>Z27*(1-0.015)</f>
        <v>0</v>
      </c>
      <c r="AE27" s="434">
        <f>'[1]Форма.2.4'!AE27</f>
        <v>100</v>
      </c>
      <c r="AF27" s="435">
        <f>'[1]Форма.2.4'!AF27</f>
        <v>2</v>
      </c>
      <c r="AG27" s="219">
        <f>IF($M27=0,0,AD27*0.985)</f>
        <v>0</v>
      </c>
      <c r="AH27" s="129">
        <v>101.5228426395939</v>
      </c>
      <c r="AI27" s="118">
        <v>2</v>
      </c>
      <c r="AJ27" s="135"/>
      <c r="AK27" s="293" t="s">
        <v>82</v>
      </c>
      <c r="AM27" s="116"/>
      <c r="AN27" s="141" t="s">
        <v>153</v>
      </c>
      <c r="AP27" s="282" t="s">
        <v>305</v>
      </c>
    </row>
    <row r="28" spans="1:42" ht="18.75" thickBot="1">
      <c r="A28" s="6"/>
      <c r="B28" s="278" t="s">
        <v>318</v>
      </c>
      <c r="C28" s="459">
        <f aca="true" t="shared" si="0" ref="C28:H28">AVERAGE(C40,C37,C35,C29)</f>
        <v>0.425</v>
      </c>
      <c r="D28" s="457">
        <f t="shared" si="0"/>
        <v>0.425</v>
      </c>
      <c r="E28" s="457">
        <f t="shared" si="0"/>
        <v>0.425</v>
      </c>
      <c r="F28" s="457">
        <f t="shared" si="0"/>
        <v>0.425</v>
      </c>
      <c r="G28" s="457">
        <f t="shared" si="0"/>
        <v>0.425</v>
      </c>
      <c r="H28" s="457">
        <f t="shared" si="0"/>
        <v>0.425</v>
      </c>
      <c r="I28" s="221"/>
      <c r="J28" s="221"/>
      <c r="K28" s="222" t="e">
        <f>AVERAGE(K40,K37,K35,#REF!,#REF!,K29,#REF!)</f>
        <v>#REF!</v>
      </c>
      <c r="L28" s="296"/>
      <c r="M28" s="221"/>
      <c r="N28" s="221"/>
      <c r="O28" s="436"/>
      <c r="P28" s="431">
        <f>AVERAGE(P40,P37,P35,P29)</f>
        <v>0.425</v>
      </c>
      <c r="Q28" s="223">
        <v>0</v>
      </c>
      <c r="R28" s="221"/>
      <c r="S28" s="436"/>
      <c r="T28" s="431">
        <f>AVERAGE(T40,T37,T35,T29)</f>
        <v>0.425</v>
      </c>
      <c r="U28" s="224">
        <v>0</v>
      </c>
      <c r="V28" s="221"/>
      <c r="W28" s="436"/>
      <c r="X28" s="431">
        <f>AVERAGE(X40,X37,X35,X29)</f>
        <v>0.425</v>
      </c>
      <c r="Y28" s="224">
        <v>0</v>
      </c>
      <c r="Z28" s="221"/>
      <c r="AA28" s="436"/>
      <c r="AB28" s="431">
        <f>AVERAGE(AB40,AB37,AB35,AB29)</f>
        <v>0.425</v>
      </c>
      <c r="AC28" s="224">
        <v>0</v>
      </c>
      <c r="AD28" s="221"/>
      <c r="AE28" s="436"/>
      <c r="AF28" s="431">
        <f>AVERAGE(AF40,AF37,AF35,AF29)</f>
        <v>0.425</v>
      </c>
      <c r="AG28" s="221"/>
      <c r="AH28" s="221"/>
      <c r="AI28" s="220">
        <f>AVERAGE(AI40,AI37,AI35,AI29)</f>
        <v>0.425</v>
      </c>
      <c r="AJ28" s="135"/>
      <c r="AK28" s="171"/>
      <c r="AM28" s="116"/>
      <c r="AN28" s="140" t="s">
        <v>171</v>
      </c>
      <c r="AP28" s="279" t="s">
        <v>318</v>
      </c>
    </row>
    <row r="29" spans="1:42" ht="17.25" thickBot="1">
      <c r="A29" s="17"/>
      <c r="B29" s="283" t="s">
        <v>339</v>
      </c>
      <c r="C29" s="460">
        <v>0.5</v>
      </c>
      <c r="D29" s="457">
        <v>0.5</v>
      </c>
      <c r="E29" s="457">
        <v>0.5</v>
      </c>
      <c r="F29" s="457">
        <v>0.5</v>
      </c>
      <c r="G29" s="457">
        <v>0.5</v>
      </c>
      <c r="H29" s="457">
        <v>0.5</v>
      </c>
      <c r="I29" s="31"/>
      <c r="J29" s="31"/>
      <c r="K29" s="24">
        <f>AVERAGE(K30,K31,K34)</f>
        <v>0.5</v>
      </c>
      <c r="L29" s="296"/>
      <c r="O29" s="330"/>
      <c r="P29" s="437">
        <f>'[1]Форма.2.4'!P29</f>
        <v>0.5</v>
      </c>
      <c r="Q29" s="132">
        <v>0</v>
      </c>
      <c r="R29" s="31"/>
      <c r="S29" s="330"/>
      <c r="T29" s="437">
        <f>'[1]Форма.2.4'!T29</f>
        <v>0.5</v>
      </c>
      <c r="U29" s="132">
        <v>0</v>
      </c>
      <c r="V29" s="31"/>
      <c r="W29" s="330"/>
      <c r="X29" s="437">
        <f>'[1]Форма.2.4'!X29</f>
        <v>0.5</v>
      </c>
      <c r="Y29" s="132">
        <v>0</v>
      </c>
      <c r="Z29" s="31"/>
      <c r="AA29" s="330"/>
      <c r="AB29" s="437">
        <f>'[1]Форма.2.4'!AB29</f>
        <v>0.5</v>
      </c>
      <c r="AC29" s="132">
        <v>0</v>
      </c>
      <c r="AD29" s="31"/>
      <c r="AE29" s="330"/>
      <c r="AF29" s="437">
        <f>'[1]Форма.2.4'!AF29</f>
        <v>0.5</v>
      </c>
      <c r="AG29" s="31"/>
      <c r="AH29" s="31"/>
      <c r="AI29" s="24">
        <v>0.5</v>
      </c>
      <c r="AJ29" s="135"/>
      <c r="AK29" s="293" t="s">
        <v>103</v>
      </c>
      <c r="AM29" s="116"/>
      <c r="AN29" s="141" t="s">
        <v>124</v>
      </c>
      <c r="AP29" s="281" t="s">
        <v>309</v>
      </c>
    </row>
    <row r="30" spans="1:42" ht="16.5" customHeight="1" thickBot="1">
      <c r="A30" s="5"/>
      <c r="B30" s="282" t="s">
        <v>340</v>
      </c>
      <c r="C30" s="453">
        <f>'Форма.2.2'!$P$9</f>
        <v>0.5</v>
      </c>
      <c r="D30" s="405">
        <v>0.5</v>
      </c>
      <c r="E30" s="405">
        <v>0.5</v>
      </c>
      <c r="F30" s="405">
        <v>0.5</v>
      </c>
      <c r="G30" s="405">
        <v>0.5</v>
      </c>
      <c r="H30" s="405">
        <v>0.5</v>
      </c>
      <c r="I30" s="128">
        <f>'Форма.2.2'!K9</f>
        <v>1</v>
      </c>
      <c r="J30" s="129">
        <f>IF(AND(I30=0,N30&lt;&gt;0),0,IF(N30=0,100,I30/N30*100))</f>
        <v>100</v>
      </c>
      <c r="K30" s="118">
        <f>IF(J30&gt;120,0.75,IF(J30&lt;80,0.25,0.5))</f>
        <v>0.5</v>
      </c>
      <c r="L30" s="296"/>
      <c r="M30" s="119">
        <f>'Форма.2.2'!L9</f>
        <v>1</v>
      </c>
      <c r="N30" s="119">
        <f>'Форма.2.2'!M9</f>
        <v>1</v>
      </c>
      <c r="O30" s="434">
        <f>'[1]Форма.2.4'!O30</f>
        <v>100</v>
      </c>
      <c r="P30" s="438">
        <f>'[1]Форма.2.4'!P30</f>
        <v>0.5</v>
      </c>
      <c r="Q30" s="132">
        <v>0</v>
      </c>
      <c r="R30" s="204">
        <f>N30*(1-0.015)</f>
        <v>0.985</v>
      </c>
      <c r="S30" s="434">
        <f>'[1]Форма.2.4'!S30</f>
        <v>101.5228426395939</v>
      </c>
      <c r="T30" s="438">
        <f>'[1]Форма.2.4'!T30</f>
        <v>0.5</v>
      </c>
      <c r="U30" s="132">
        <v>0</v>
      </c>
      <c r="V30" s="204">
        <f>R30*(1-0.015)</f>
        <v>0.970225</v>
      </c>
      <c r="W30" s="434">
        <f>'[1]Форма.2.4'!W30</f>
        <v>101.5228426395939</v>
      </c>
      <c r="X30" s="438">
        <f>'[1]Форма.2.4'!X30</f>
        <v>0.5</v>
      </c>
      <c r="Y30" s="132">
        <v>0</v>
      </c>
      <c r="Z30" s="204">
        <f>V30*(1-0.015)</f>
        <v>0.955671625</v>
      </c>
      <c r="AA30" s="434">
        <f>'[1]Форма.2.4'!AA30</f>
        <v>101.5228426395939</v>
      </c>
      <c r="AB30" s="438">
        <f>'[1]Форма.2.4'!AB30</f>
        <v>0.5</v>
      </c>
      <c r="AC30" s="132">
        <v>0</v>
      </c>
      <c r="AD30" s="204">
        <f>Z30*(1-0.015)</f>
        <v>0.941336550625</v>
      </c>
      <c r="AE30" s="434">
        <f>'[1]Форма.2.4'!AE30</f>
        <v>101.52284263959392</v>
      </c>
      <c r="AF30" s="438">
        <f>'[1]Форма.2.4'!AF30</f>
        <v>0.5</v>
      </c>
      <c r="AG30" s="219">
        <f>IF($M30=0,0,AD30*0.985)</f>
        <v>0.927216502365625</v>
      </c>
      <c r="AH30" s="129">
        <v>101.5228426395939</v>
      </c>
      <c r="AI30" s="118">
        <v>0.5</v>
      </c>
      <c r="AJ30" s="135"/>
      <c r="AK30" s="293" t="s">
        <v>82</v>
      </c>
      <c r="AM30" s="116"/>
      <c r="AN30" s="141" t="s">
        <v>125</v>
      </c>
      <c r="AP30" s="282" t="s">
        <v>271</v>
      </c>
    </row>
    <row r="31" spans="1:42" ht="17.25" thickBot="1">
      <c r="A31" s="17"/>
      <c r="B31" s="283" t="s">
        <v>341</v>
      </c>
      <c r="C31" s="453">
        <f>IF(MIN(C32:C33)=0,0,AVERAGE(C32:C33))</f>
        <v>0.5</v>
      </c>
      <c r="D31" s="457">
        <v>0.5</v>
      </c>
      <c r="E31" s="457">
        <v>0.5</v>
      </c>
      <c r="F31" s="457">
        <v>0.5</v>
      </c>
      <c r="G31" s="457">
        <v>0.5</v>
      </c>
      <c r="H31" s="457">
        <v>0.5</v>
      </c>
      <c r="I31" s="31"/>
      <c r="J31" s="31"/>
      <c r="K31" s="201">
        <f>AVERAGE(K32,K33)</f>
        <v>0.5</v>
      </c>
      <c r="L31" s="296"/>
      <c r="O31" s="330"/>
      <c r="P31" s="437">
        <f>'[1]Форма.2.4'!P31</f>
        <v>0.5</v>
      </c>
      <c r="Q31" s="116">
        <v>0</v>
      </c>
      <c r="R31" s="31"/>
      <c r="S31" s="330"/>
      <c r="T31" s="437">
        <f>'[1]Форма.2.4'!T31</f>
        <v>0.5</v>
      </c>
      <c r="U31" s="132">
        <v>0</v>
      </c>
      <c r="V31" s="31"/>
      <c r="W31" s="330"/>
      <c r="X31" s="437">
        <f>'[1]Форма.2.4'!X31</f>
        <v>0.5</v>
      </c>
      <c r="Y31" s="132">
        <v>0</v>
      </c>
      <c r="Z31" s="31"/>
      <c r="AA31" s="330"/>
      <c r="AB31" s="437">
        <f>'[1]Форма.2.4'!AB31</f>
        <v>0.5</v>
      </c>
      <c r="AC31" s="132">
        <v>0</v>
      </c>
      <c r="AD31" s="31"/>
      <c r="AE31" s="330"/>
      <c r="AF31" s="437">
        <f>'[1]Форма.2.4'!AF31</f>
        <v>0.5</v>
      </c>
      <c r="AG31" s="31"/>
      <c r="AH31" s="31"/>
      <c r="AI31" s="201">
        <v>0.5</v>
      </c>
      <c r="AJ31" s="135"/>
      <c r="AK31" s="293" t="s">
        <v>82</v>
      </c>
      <c r="AM31" s="116"/>
      <c r="AN31" s="141" t="s">
        <v>126</v>
      </c>
      <c r="AP31" s="281" t="s">
        <v>272</v>
      </c>
    </row>
    <row r="32" spans="1:42" ht="33">
      <c r="A32" s="5"/>
      <c r="B32" s="282" t="s">
        <v>342</v>
      </c>
      <c r="C32" s="453">
        <f>'Форма.2.2'!$P$11</f>
        <v>0.5</v>
      </c>
      <c r="D32" s="405">
        <v>0.5</v>
      </c>
      <c r="E32" s="405">
        <v>0.5</v>
      </c>
      <c r="F32" s="405">
        <v>0.5</v>
      </c>
      <c r="G32" s="405">
        <v>0.5</v>
      </c>
      <c r="H32" s="405">
        <v>0.5</v>
      </c>
      <c r="I32" s="128">
        <f>'Форма.2.2'!K11</f>
        <v>2</v>
      </c>
      <c r="J32" s="129">
        <f>IF(AND(I32=0,N32&lt;&gt;0),0,IF(N32=0,100,I32/N32*100))</f>
        <v>100</v>
      </c>
      <c r="K32" s="118">
        <f>IF(J32&gt;120,0.75,IF(J32&lt;80,0.25,0.5))</f>
        <v>0.5</v>
      </c>
      <c r="L32" s="296"/>
      <c r="M32" s="119">
        <f>'Форма.2.2'!L11</f>
        <v>2</v>
      </c>
      <c r="N32" s="119">
        <f>'Форма.2.2'!M11</f>
        <v>2</v>
      </c>
      <c r="O32" s="434">
        <f>'[1]Форма.2.4'!O32</f>
        <v>100</v>
      </c>
      <c r="P32" s="438">
        <f>'[1]Форма.2.4'!P32</f>
        <v>0.5</v>
      </c>
      <c r="Q32" s="132">
        <v>0</v>
      </c>
      <c r="R32" s="204">
        <f>N32*(1-0.015)</f>
        <v>1.97</v>
      </c>
      <c r="S32" s="434">
        <f>'[1]Форма.2.4'!S32</f>
        <v>101.5228426395939</v>
      </c>
      <c r="T32" s="438">
        <f>'[1]Форма.2.4'!T32</f>
        <v>0.5</v>
      </c>
      <c r="U32" s="132">
        <v>0</v>
      </c>
      <c r="V32" s="204">
        <f>R32*(1-0.015)</f>
        <v>1.94045</v>
      </c>
      <c r="W32" s="434">
        <f>'[1]Форма.2.4'!W32</f>
        <v>101.52284263959392</v>
      </c>
      <c r="X32" s="438">
        <f>'[1]Форма.2.4'!X32</f>
        <v>0.5</v>
      </c>
      <c r="Y32" s="132">
        <v>0</v>
      </c>
      <c r="Z32" s="204">
        <f>V32*(1-0.015)</f>
        <v>1.91134325</v>
      </c>
      <c r="AA32" s="434">
        <f>'[1]Форма.2.4'!AA32</f>
        <v>101.52284263959392</v>
      </c>
      <c r="AB32" s="438">
        <f>'[1]Форма.2.4'!AB32</f>
        <v>0.5</v>
      </c>
      <c r="AC32" s="132">
        <v>0</v>
      </c>
      <c r="AD32" s="204">
        <f>Z32*(1-0.015)</f>
        <v>1.88267310125</v>
      </c>
      <c r="AE32" s="434">
        <f>'[1]Форма.2.4'!AE32</f>
        <v>101.52284263959392</v>
      </c>
      <c r="AF32" s="438">
        <f>'[1]Форма.2.4'!AF32</f>
        <v>0.5</v>
      </c>
      <c r="AG32" s="219">
        <f>IF($M32=0,0,AD32*0.985)</f>
        <v>1.85443300473125</v>
      </c>
      <c r="AH32" s="129">
        <v>101.5228426395939</v>
      </c>
      <c r="AI32" s="118">
        <v>0.5</v>
      </c>
      <c r="AJ32" s="135"/>
      <c r="AK32" s="293" t="s">
        <v>104</v>
      </c>
      <c r="AM32" s="116"/>
      <c r="AN32" s="141" t="s">
        <v>127</v>
      </c>
      <c r="AP32" s="282" t="s">
        <v>277</v>
      </c>
    </row>
    <row r="33" spans="1:42" ht="33">
      <c r="A33" s="5"/>
      <c r="B33" s="282" t="s">
        <v>343</v>
      </c>
      <c r="C33" s="453">
        <f>'Форма.2.2'!$P$12</f>
        <v>0.5</v>
      </c>
      <c r="D33" s="405">
        <v>0.5</v>
      </c>
      <c r="E33" s="405">
        <v>0.5</v>
      </c>
      <c r="F33" s="405">
        <v>0.5</v>
      </c>
      <c r="G33" s="405">
        <v>0.5</v>
      </c>
      <c r="H33" s="405">
        <v>0.5</v>
      </c>
      <c r="I33" s="128">
        <f>'Форма.2.2'!K12</f>
        <v>2</v>
      </c>
      <c r="J33" s="129">
        <f>IF(AND(I33=0,N33&lt;&gt;0),0,IF(N33=0,100,I33/N33*100))</f>
        <v>100</v>
      </c>
      <c r="K33" s="118">
        <f>IF(J33&gt;120,0.75,IF(J33&lt;80,0.25,0.5))</f>
        <v>0.5</v>
      </c>
      <c r="L33" s="296"/>
      <c r="M33" s="119">
        <f>'Форма.2.2'!L12</f>
        <v>2</v>
      </c>
      <c r="N33" s="119">
        <f>'Форма.2.2'!M12</f>
        <v>2</v>
      </c>
      <c r="O33" s="434">
        <f>'[1]Форма.2.4'!O33</f>
        <v>100</v>
      </c>
      <c r="P33" s="438">
        <f>'[1]Форма.2.4'!P33</f>
        <v>0.5</v>
      </c>
      <c r="Q33" s="132">
        <v>0</v>
      </c>
      <c r="R33" s="204">
        <v>1</v>
      </c>
      <c r="S33" s="434">
        <f>'[1]Форма.2.4'!S33</f>
        <v>101.5228426395939</v>
      </c>
      <c r="T33" s="438">
        <f>'[1]Форма.2.4'!T33</f>
        <v>0.5</v>
      </c>
      <c r="U33" s="132">
        <v>0</v>
      </c>
      <c r="V33" s="204">
        <v>1</v>
      </c>
      <c r="W33" s="434">
        <f>'[1]Форма.2.4'!W33</f>
        <v>101.52284263959392</v>
      </c>
      <c r="X33" s="438">
        <f>'[1]Форма.2.4'!X33</f>
        <v>0.5</v>
      </c>
      <c r="Y33" s="132">
        <v>0</v>
      </c>
      <c r="Z33" s="204">
        <v>1</v>
      </c>
      <c r="AA33" s="434">
        <f>'[1]Форма.2.4'!AA33</f>
        <v>101.52284263959392</v>
      </c>
      <c r="AB33" s="438">
        <f>'[1]Форма.2.4'!AB33</f>
        <v>0.5</v>
      </c>
      <c r="AC33" s="132">
        <v>0</v>
      </c>
      <c r="AD33" s="204">
        <v>1</v>
      </c>
      <c r="AE33" s="434">
        <f>'[1]Форма.2.4'!AE33</f>
        <v>101.52284263959392</v>
      </c>
      <c r="AF33" s="438">
        <f>'[1]Форма.2.4'!AF33</f>
        <v>0.5</v>
      </c>
      <c r="AG33" s="219">
        <f>IF($M33=0,0,AD33*0.985)</f>
        <v>0.985</v>
      </c>
      <c r="AH33" s="129">
        <v>101.5228426395939</v>
      </c>
      <c r="AI33" s="118">
        <v>0.5</v>
      </c>
      <c r="AJ33" s="135"/>
      <c r="AK33" s="293" t="s">
        <v>104</v>
      </c>
      <c r="AM33" s="116"/>
      <c r="AN33" s="141" t="s">
        <v>79</v>
      </c>
      <c r="AP33" s="282" t="s">
        <v>278</v>
      </c>
    </row>
    <row r="34" spans="1:42" ht="16.5" customHeight="1" thickBot="1">
      <c r="A34" s="5"/>
      <c r="B34" s="282" t="s">
        <v>344</v>
      </c>
      <c r="C34" s="453">
        <f>'Форма.2.2'!$P$13</f>
        <v>0.5</v>
      </c>
      <c r="D34" s="405">
        <v>0.5</v>
      </c>
      <c r="E34" s="405">
        <v>0.5</v>
      </c>
      <c r="F34" s="405">
        <v>0.5</v>
      </c>
      <c r="G34" s="405">
        <v>0.5</v>
      </c>
      <c r="H34" s="405">
        <v>0.5</v>
      </c>
      <c r="I34" s="128">
        <f>'Форма.2.2'!K13</f>
        <v>0</v>
      </c>
      <c r="J34" s="129">
        <f>IF(AND(I34=0,N34&lt;&gt;0),0,IF(N34=0,100,I34/N34*100))</f>
        <v>100</v>
      </c>
      <c r="K34" s="118">
        <f>IF(J34=0,0.75,IF(J34&gt;120,0.75,IF(J34&lt;80,0.25,0.5)))</f>
        <v>0.5</v>
      </c>
      <c r="L34" s="296"/>
      <c r="M34" s="119">
        <f>'Форма.2.2'!L13</f>
        <v>0</v>
      </c>
      <c r="N34" s="119">
        <f>'Форма.2.2'!M13</f>
        <v>0</v>
      </c>
      <c r="O34" s="434">
        <f>'[1]Форма.2.4'!O34</f>
        <v>100</v>
      </c>
      <c r="P34" s="438">
        <f>'[1]Форма.2.4'!P34</f>
        <v>0.5</v>
      </c>
      <c r="Q34" s="132">
        <v>0</v>
      </c>
      <c r="R34" s="204">
        <f>N34*(1-0.015)</f>
        <v>0</v>
      </c>
      <c r="S34" s="434">
        <f>'[1]Форма.2.4'!S34</f>
        <v>100</v>
      </c>
      <c r="T34" s="438">
        <f>'[1]Форма.2.4'!T34</f>
        <v>0.5</v>
      </c>
      <c r="U34" s="132">
        <v>0</v>
      </c>
      <c r="V34" s="204">
        <f>R34*(1-0.015)</f>
        <v>0</v>
      </c>
      <c r="W34" s="434">
        <f>'[1]Форма.2.4'!W34</f>
        <v>100</v>
      </c>
      <c r="X34" s="438">
        <f>'[1]Форма.2.4'!X34</f>
        <v>0.5</v>
      </c>
      <c r="Y34" s="132">
        <v>0</v>
      </c>
      <c r="Z34" s="204">
        <f>V34*(1-0.015)</f>
        <v>0</v>
      </c>
      <c r="AA34" s="434">
        <f>'[1]Форма.2.4'!AA34</f>
        <v>100</v>
      </c>
      <c r="AB34" s="438">
        <f>'[1]Форма.2.4'!AB34</f>
        <v>0.5</v>
      </c>
      <c r="AC34" s="132">
        <v>0</v>
      </c>
      <c r="AD34" s="204">
        <f>Z34*(1-0.015)</f>
        <v>0</v>
      </c>
      <c r="AE34" s="434">
        <f>'[1]Форма.2.4'!AE34</f>
        <v>100</v>
      </c>
      <c r="AF34" s="438">
        <f>'[1]Форма.2.4'!AF34</f>
        <v>0.5</v>
      </c>
      <c r="AG34" s="219">
        <f>IF($M34=0,0,AD34*0.985)</f>
        <v>0</v>
      </c>
      <c r="AH34" s="129">
        <v>100</v>
      </c>
      <c r="AI34" s="118">
        <v>0.5</v>
      </c>
      <c r="AJ34" s="135"/>
      <c r="AK34" s="293" t="s">
        <v>82</v>
      </c>
      <c r="AM34" s="116"/>
      <c r="AN34" s="141" t="s">
        <v>128</v>
      </c>
      <c r="AP34" s="282" t="s">
        <v>273</v>
      </c>
    </row>
    <row r="35" spans="1:42" ht="17.25" thickBot="1">
      <c r="A35" s="17"/>
      <c r="B35" s="283" t="s">
        <v>345</v>
      </c>
      <c r="C35" s="458">
        <v>0.5</v>
      </c>
      <c r="D35" s="457">
        <v>0.5</v>
      </c>
      <c r="E35" s="457">
        <v>0.5</v>
      </c>
      <c r="F35" s="457">
        <v>0.5</v>
      </c>
      <c r="G35" s="457">
        <v>0.5</v>
      </c>
      <c r="H35" s="457">
        <v>0.5</v>
      </c>
      <c r="I35" s="31"/>
      <c r="J35" s="31"/>
      <c r="K35" s="22">
        <f>K36</f>
        <v>0.5</v>
      </c>
      <c r="L35" s="296"/>
      <c r="O35" s="330"/>
      <c r="P35" s="437">
        <f>'[1]Форма.2.4'!P35</f>
        <v>0.5</v>
      </c>
      <c r="Q35" s="132">
        <v>0</v>
      </c>
      <c r="R35" s="31"/>
      <c r="S35" s="330"/>
      <c r="T35" s="437">
        <f>'[1]Форма.2.4'!T35</f>
        <v>0.5</v>
      </c>
      <c r="U35" s="132">
        <v>0</v>
      </c>
      <c r="V35" s="31"/>
      <c r="W35" s="330"/>
      <c r="X35" s="437">
        <f>'[1]Форма.2.4'!X35</f>
        <v>0.5</v>
      </c>
      <c r="Y35" s="132">
        <v>0</v>
      </c>
      <c r="Z35" s="31"/>
      <c r="AA35" s="330"/>
      <c r="AB35" s="437">
        <f>'[1]Форма.2.4'!AB35</f>
        <v>0.5</v>
      </c>
      <c r="AC35" s="132">
        <v>0</v>
      </c>
      <c r="AD35" s="31"/>
      <c r="AE35" s="330"/>
      <c r="AF35" s="437">
        <f>'[1]Форма.2.4'!AF35</f>
        <v>0.5</v>
      </c>
      <c r="AG35" s="31"/>
      <c r="AH35" s="31"/>
      <c r="AI35" s="22">
        <v>0.5</v>
      </c>
      <c r="AJ35" s="135"/>
      <c r="AK35" s="293" t="s">
        <v>74</v>
      </c>
      <c r="AM35" s="116"/>
      <c r="AN35" s="141" t="s">
        <v>129</v>
      </c>
      <c r="AP35" s="281" t="s">
        <v>282</v>
      </c>
    </row>
    <row r="36" spans="1:42" ht="16.5" customHeight="1" thickBot="1">
      <c r="A36" s="5"/>
      <c r="B36" s="282" t="s">
        <v>346</v>
      </c>
      <c r="C36" s="453">
        <f>'Форма.2.2'!$P$15</f>
        <v>0.5</v>
      </c>
      <c r="D36" s="405">
        <v>0.5</v>
      </c>
      <c r="E36" s="405">
        <v>0.5</v>
      </c>
      <c r="F36" s="405">
        <v>0.5</v>
      </c>
      <c r="G36" s="405">
        <v>0.5</v>
      </c>
      <c r="H36" s="405">
        <v>0.5</v>
      </c>
      <c r="I36" s="128">
        <f>'Форма.2.2'!K15</f>
        <v>2</v>
      </c>
      <c r="J36" s="129">
        <f>IF(AND(I36=0,N36&lt;&gt;0),0,IF(N36=0,100,I36/N36*100))</f>
        <v>100</v>
      </c>
      <c r="K36" s="118">
        <f>IF(J36=0,0.75,IF(J36&gt;120,0.75,IF(J36&lt;80,0.25,0.5)))</f>
        <v>0.5</v>
      </c>
      <c r="L36" s="296"/>
      <c r="M36" s="119">
        <f>'Форма.2.2'!L15</f>
        <v>2</v>
      </c>
      <c r="N36" s="119">
        <f>'Форма.2.2'!M15</f>
        <v>2</v>
      </c>
      <c r="O36" s="434">
        <f>'[1]Форма.2.4'!O36</f>
        <v>100</v>
      </c>
      <c r="P36" s="438">
        <f>'[1]Форма.2.4'!P36</f>
        <v>0.5</v>
      </c>
      <c r="Q36" s="132">
        <v>0</v>
      </c>
      <c r="R36" s="204">
        <f>N36*(1-0.015)</f>
        <v>1.97</v>
      </c>
      <c r="S36" s="434">
        <f>'[1]Форма.2.4'!S36</f>
        <v>100</v>
      </c>
      <c r="T36" s="438">
        <f>'[1]Форма.2.4'!T36</f>
        <v>0.5</v>
      </c>
      <c r="U36" s="132">
        <v>0</v>
      </c>
      <c r="V36" s="204">
        <f>R36*(1-0.015)</f>
        <v>1.94045</v>
      </c>
      <c r="W36" s="434">
        <f>'[1]Форма.2.4'!W36</f>
        <v>100</v>
      </c>
      <c r="X36" s="438">
        <f>'[1]Форма.2.4'!X36</f>
        <v>0.5</v>
      </c>
      <c r="Y36" s="132">
        <v>0</v>
      </c>
      <c r="Z36" s="204">
        <f>V36*(1-0.015)</f>
        <v>1.91134325</v>
      </c>
      <c r="AA36" s="434">
        <f>'[1]Форма.2.4'!AA36</f>
        <v>100</v>
      </c>
      <c r="AB36" s="438">
        <f>'[1]Форма.2.4'!AB36</f>
        <v>0.5</v>
      </c>
      <c r="AC36" s="132">
        <v>0</v>
      </c>
      <c r="AD36" s="204">
        <f>Z36*(1-0.015)</f>
        <v>1.88267310125</v>
      </c>
      <c r="AE36" s="434">
        <f>'[1]Форма.2.4'!AE36</f>
        <v>100</v>
      </c>
      <c r="AF36" s="438">
        <f>'[1]Форма.2.4'!AF36</f>
        <v>0.5</v>
      </c>
      <c r="AG36" s="219">
        <f>IF($M36=0,0,AD36*0.985)</f>
        <v>1.85443300473125</v>
      </c>
      <c r="AH36" s="129">
        <v>101.5228426395939</v>
      </c>
      <c r="AI36" s="118">
        <v>0.5</v>
      </c>
      <c r="AJ36" s="135"/>
      <c r="AK36" s="293" t="s">
        <v>82</v>
      </c>
      <c r="AM36" s="116"/>
      <c r="AN36" s="141" t="s">
        <v>130</v>
      </c>
      <c r="AP36" s="282" t="s">
        <v>274</v>
      </c>
    </row>
    <row r="37" spans="1:42" ht="17.25" thickBot="1">
      <c r="A37" s="17"/>
      <c r="B37" s="283" t="s">
        <v>276</v>
      </c>
      <c r="C37" s="458">
        <v>0.5</v>
      </c>
      <c r="D37" s="457">
        <v>0.5</v>
      </c>
      <c r="E37" s="457">
        <v>0.5</v>
      </c>
      <c r="F37" s="457">
        <v>0.5</v>
      </c>
      <c r="G37" s="457">
        <v>0.5</v>
      </c>
      <c r="H37" s="457">
        <v>0.5</v>
      </c>
      <c r="I37" s="31"/>
      <c r="J37" s="31"/>
      <c r="K37" s="22">
        <f>AVERAGE(K38,K39)</f>
        <v>0.5</v>
      </c>
      <c r="L37" s="296"/>
      <c r="O37" s="330"/>
      <c r="P37" s="437">
        <f>'[1]Форма.2.4'!P37</f>
        <v>0.5</v>
      </c>
      <c r="Q37" s="132">
        <v>0</v>
      </c>
      <c r="R37" s="31"/>
      <c r="S37" s="330"/>
      <c r="T37" s="437">
        <f>'[1]Форма.2.4'!T37</f>
        <v>0.5</v>
      </c>
      <c r="U37" s="132">
        <v>0</v>
      </c>
      <c r="V37" s="31"/>
      <c r="W37" s="330"/>
      <c r="X37" s="437">
        <f>'[1]Форма.2.4'!X37</f>
        <v>0.5</v>
      </c>
      <c r="Y37" s="132">
        <v>0</v>
      </c>
      <c r="Z37" s="31"/>
      <c r="AA37" s="330"/>
      <c r="AB37" s="437">
        <f>'[1]Форма.2.4'!AB37</f>
        <v>0.5</v>
      </c>
      <c r="AC37" s="132">
        <v>0</v>
      </c>
      <c r="AD37" s="31"/>
      <c r="AE37" s="330"/>
      <c r="AF37" s="437">
        <f>'[1]Форма.2.4'!AF37</f>
        <v>0.5</v>
      </c>
      <c r="AG37" s="31"/>
      <c r="AH37" s="31"/>
      <c r="AI37" s="22">
        <v>0.5</v>
      </c>
      <c r="AJ37" s="135"/>
      <c r="AK37" s="293" t="s">
        <v>103</v>
      </c>
      <c r="AM37" s="116"/>
      <c r="AN37" s="141" t="s">
        <v>131</v>
      </c>
      <c r="AP37" s="281" t="s">
        <v>276</v>
      </c>
    </row>
    <row r="38" spans="1:42" ht="16.5">
      <c r="A38" s="274"/>
      <c r="B38" s="282" t="s">
        <v>347</v>
      </c>
      <c r="C38" s="453">
        <f>'Форма.2.2'!$P$17</f>
        <v>0.5</v>
      </c>
      <c r="D38" s="405">
        <v>0.5</v>
      </c>
      <c r="E38" s="405">
        <v>0.5</v>
      </c>
      <c r="F38" s="405">
        <v>0.5</v>
      </c>
      <c r="G38" s="405">
        <v>0.5</v>
      </c>
      <c r="H38" s="405">
        <v>0.5</v>
      </c>
      <c r="I38" s="128">
        <f>'Форма.2.2'!K17</f>
        <v>0</v>
      </c>
      <c r="J38" s="129">
        <f>IF(AND(I38=0,N38&lt;&gt;0),0,IF(N38=0,100,I38/N38*100))</f>
        <v>100</v>
      </c>
      <c r="K38" s="118">
        <f>IF(J38=0,0.25,IF(J38&lt;80,0.75,IF(J38&gt;120,0.25,0.5)))</f>
        <v>0.5</v>
      </c>
      <c r="L38" s="296"/>
      <c r="M38" s="119">
        <f>'Форма.2.2'!L17</f>
        <v>0</v>
      </c>
      <c r="N38" s="119">
        <f>'Форма.2.2'!M17</f>
        <v>0</v>
      </c>
      <c r="O38" s="434">
        <f>'[1]Форма.2.4'!O38</f>
        <v>100</v>
      </c>
      <c r="P38" s="429">
        <f>'[1]Форма.2.4'!P38</f>
        <v>0.5</v>
      </c>
      <c r="Q38" s="132">
        <v>0</v>
      </c>
      <c r="R38" s="287">
        <f>N38</f>
        <v>0</v>
      </c>
      <c r="S38" s="434">
        <f>'[1]Форма.2.4'!S38</f>
        <v>100</v>
      </c>
      <c r="T38" s="429">
        <f>'[1]Форма.2.4'!T38</f>
        <v>0.5</v>
      </c>
      <c r="U38" s="132">
        <v>0</v>
      </c>
      <c r="V38" s="287">
        <f>R38</f>
        <v>0</v>
      </c>
      <c r="W38" s="434">
        <f>'[1]Форма.2.4'!W38</f>
        <v>100</v>
      </c>
      <c r="X38" s="429">
        <f>'[1]Форма.2.4'!X38</f>
        <v>0.5</v>
      </c>
      <c r="Y38" s="132">
        <v>0</v>
      </c>
      <c r="Z38" s="287">
        <f>V38</f>
        <v>0</v>
      </c>
      <c r="AA38" s="434">
        <f>'[1]Форма.2.4'!AA38</f>
        <v>100</v>
      </c>
      <c r="AB38" s="429">
        <f>'[1]Форма.2.4'!AB38</f>
        <v>0.5</v>
      </c>
      <c r="AC38" s="132">
        <v>0</v>
      </c>
      <c r="AD38" s="287">
        <f>Z38</f>
        <v>0</v>
      </c>
      <c r="AE38" s="434">
        <f>'[1]Форма.2.4'!AE38</f>
        <v>100</v>
      </c>
      <c r="AF38" s="429">
        <f>'[1]Форма.2.4'!AF38</f>
        <v>0.5</v>
      </c>
      <c r="AG38" s="219">
        <f>$N$38</f>
        <v>0</v>
      </c>
      <c r="AH38" s="129">
        <v>98.52216748768474</v>
      </c>
      <c r="AI38" s="118">
        <v>0.5</v>
      </c>
      <c r="AJ38" s="135"/>
      <c r="AK38" s="293" t="s">
        <v>83</v>
      </c>
      <c r="AM38" s="116"/>
      <c r="AN38" s="141" t="s">
        <v>132</v>
      </c>
      <c r="AP38" s="282" t="s">
        <v>279</v>
      </c>
    </row>
    <row r="39" spans="1:42" ht="16.5" customHeight="1" thickBot="1">
      <c r="A39" s="5"/>
      <c r="B39" s="282" t="s">
        <v>348</v>
      </c>
      <c r="C39" s="453">
        <f>'Форма.2.2'!$P$18</f>
        <v>0.5</v>
      </c>
      <c r="D39" s="405">
        <v>0.5</v>
      </c>
      <c r="E39" s="405">
        <v>0.5</v>
      </c>
      <c r="F39" s="405">
        <v>0.5</v>
      </c>
      <c r="G39" s="405">
        <v>0.5</v>
      </c>
      <c r="H39" s="405">
        <v>0.5</v>
      </c>
      <c r="I39" s="128">
        <f>'Форма.2.2'!K18</f>
        <v>0</v>
      </c>
      <c r="J39" s="129">
        <f>IF(AND(I39=0,N39&lt;&gt;0),0,IF(N39=0,100,I39/N39*100))</f>
        <v>100</v>
      </c>
      <c r="K39" s="118">
        <f>IF(J39=0,0.75,IF(J39&gt;120,0.75,IF(J39&lt;80,0.25,0.5)))</f>
        <v>0.5</v>
      </c>
      <c r="L39" s="296"/>
      <c r="M39" s="119">
        <f>'Форма.2.2'!L18</f>
        <v>0</v>
      </c>
      <c r="N39" s="119">
        <f>'Форма.2.2'!M18</f>
        <v>0</v>
      </c>
      <c r="O39" s="434">
        <f>'[1]Форма.2.4'!O39</f>
        <v>100</v>
      </c>
      <c r="P39" s="438">
        <f>'[1]Форма.2.4'!P39</f>
        <v>0.5</v>
      </c>
      <c r="Q39" s="132">
        <v>0</v>
      </c>
      <c r="R39" s="204">
        <f>N39*(1-0.015)</f>
        <v>0</v>
      </c>
      <c r="S39" s="434">
        <f>'[1]Форма.2.4'!S39</f>
        <v>100</v>
      </c>
      <c r="T39" s="438">
        <f>'[1]Форма.2.4'!T39</f>
        <v>0.5</v>
      </c>
      <c r="U39" s="132">
        <v>0</v>
      </c>
      <c r="V39" s="204">
        <f>R39*(1-0.015)</f>
        <v>0</v>
      </c>
      <c r="W39" s="434">
        <f>'[1]Форма.2.4'!W39</f>
        <v>100</v>
      </c>
      <c r="X39" s="438">
        <f>'[1]Форма.2.4'!X39</f>
        <v>0.5</v>
      </c>
      <c r="Y39" s="132">
        <v>0</v>
      </c>
      <c r="Z39" s="204">
        <f>V39*(1-0.015)</f>
        <v>0</v>
      </c>
      <c r="AA39" s="434">
        <f>'[1]Форма.2.4'!AA39</f>
        <v>100</v>
      </c>
      <c r="AB39" s="438">
        <f>'[1]Форма.2.4'!AB39</f>
        <v>0.5</v>
      </c>
      <c r="AC39" s="132">
        <v>0</v>
      </c>
      <c r="AD39" s="204">
        <f>Z39*(1-0.015)</f>
        <v>0</v>
      </c>
      <c r="AE39" s="434">
        <f>'[1]Форма.2.4'!AE39</f>
        <v>100</v>
      </c>
      <c r="AF39" s="438">
        <f>'[1]Форма.2.4'!AF39</f>
        <v>0.5</v>
      </c>
      <c r="AG39" s="219">
        <f>IF($M39=0,0,AD39*0.985)</f>
        <v>0</v>
      </c>
      <c r="AH39" s="129">
        <v>100</v>
      </c>
      <c r="AI39" s="118">
        <v>0.5</v>
      </c>
      <c r="AJ39" s="135"/>
      <c r="AK39" s="293" t="s">
        <v>82</v>
      </c>
      <c r="AM39" s="116"/>
      <c r="AN39" s="141" t="s">
        <v>133</v>
      </c>
      <c r="AP39" s="282" t="s">
        <v>275</v>
      </c>
    </row>
    <row r="40" spans="1:42" ht="17.25" thickBot="1">
      <c r="A40" s="17"/>
      <c r="B40" s="283" t="s">
        <v>349</v>
      </c>
      <c r="C40" s="458">
        <v>0.2</v>
      </c>
      <c r="D40" s="457">
        <v>0.2</v>
      </c>
      <c r="E40" s="457">
        <v>0.2</v>
      </c>
      <c r="F40" s="457">
        <v>0.2</v>
      </c>
      <c r="G40" s="457">
        <v>0.2</v>
      </c>
      <c r="H40" s="457">
        <v>0.2</v>
      </c>
      <c r="I40" s="31"/>
      <c r="J40" s="31"/>
      <c r="K40" s="22">
        <f>K41</f>
        <v>0.2</v>
      </c>
      <c r="L40" s="296"/>
      <c r="O40" s="330"/>
      <c r="P40" s="437">
        <f>'[1]Форма.2.4'!P40</f>
        <v>0.2</v>
      </c>
      <c r="Q40" s="132">
        <v>0</v>
      </c>
      <c r="R40" s="31"/>
      <c r="S40" s="330"/>
      <c r="T40" s="437">
        <f>'[1]Форма.2.4'!T40</f>
        <v>0.2</v>
      </c>
      <c r="U40" s="132">
        <v>0</v>
      </c>
      <c r="V40" s="31"/>
      <c r="W40" s="330"/>
      <c r="X40" s="437">
        <f>'[1]Форма.2.4'!X40</f>
        <v>0.2</v>
      </c>
      <c r="Y40" s="132">
        <v>0</v>
      </c>
      <c r="Z40" s="31"/>
      <c r="AA40" s="330"/>
      <c r="AB40" s="437">
        <f>'[1]Форма.2.4'!AB40</f>
        <v>0.2</v>
      </c>
      <c r="AC40" s="132">
        <v>0</v>
      </c>
      <c r="AD40" s="31"/>
      <c r="AE40" s="330"/>
      <c r="AF40" s="437">
        <f>'[1]Форма.2.4'!AF40</f>
        <v>0.2</v>
      </c>
      <c r="AG40" s="31"/>
      <c r="AH40" s="31"/>
      <c r="AI40" s="22">
        <v>0.2</v>
      </c>
      <c r="AJ40" s="135"/>
      <c r="AK40" s="293" t="s">
        <v>82</v>
      </c>
      <c r="AM40" s="116"/>
      <c r="AN40" s="141" t="s">
        <v>134</v>
      </c>
      <c r="AP40" s="281" t="s">
        <v>280</v>
      </c>
    </row>
    <row r="41" spans="1:42" ht="17.25" thickBot="1">
      <c r="A41" s="5"/>
      <c r="B41" s="282" t="s">
        <v>350</v>
      </c>
      <c r="C41" s="453">
        <f>'Форма.2.2'!$P$20</f>
        <v>0.2</v>
      </c>
      <c r="D41" s="405">
        <v>0.2</v>
      </c>
      <c r="E41" s="405">
        <v>0.2</v>
      </c>
      <c r="F41" s="405">
        <v>0.2</v>
      </c>
      <c r="G41" s="405">
        <v>0.2</v>
      </c>
      <c r="H41" s="405">
        <v>0.2</v>
      </c>
      <c r="I41" s="128">
        <f>'Форма.2.2'!K20</f>
        <v>0</v>
      </c>
      <c r="J41" s="129">
        <f>IF(AND(I41=0,N41&lt;&gt;0),0,IF(N41=0,100,I41/N41*100))</f>
        <v>100</v>
      </c>
      <c r="K41" s="118">
        <f>IF(J41=0,0.3,IF(J41&gt;120,0.3,IF(J41&lt;80,0.1,0.2)))</f>
        <v>0.2</v>
      </c>
      <c r="L41" s="296"/>
      <c r="M41" s="119">
        <f>'Форма.2.2'!L20</f>
        <v>0</v>
      </c>
      <c r="N41" s="119">
        <f>'Форма.2.2'!M20</f>
        <v>0</v>
      </c>
      <c r="O41" s="434">
        <f>'[1]Форма.2.4'!O41</f>
        <v>100</v>
      </c>
      <c r="P41" s="438">
        <f>'[1]Форма.2.4'!P41</f>
        <v>0.2</v>
      </c>
      <c r="Q41" s="132">
        <v>0</v>
      </c>
      <c r="R41" s="204">
        <f>N41*(1-0.015)</f>
        <v>0</v>
      </c>
      <c r="S41" s="434">
        <f>'[1]Форма.2.4'!S41</f>
        <v>100</v>
      </c>
      <c r="T41" s="438">
        <f>'[1]Форма.2.4'!T41</f>
        <v>0.2</v>
      </c>
      <c r="U41" s="132">
        <v>0</v>
      </c>
      <c r="V41" s="204">
        <f>R41*(1-0.015)</f>
        <v>0</v>
      </c>
      <c r="W41" s="434">
        <f>'[1]Форма.2.4'!W41</f>
        <v>100</v>
      </c>
      <c r="X41" s="438">
        <f>'[1]Форма.2.4'!X41</f>
        <v>0.2</v>
      </c>
      <c r="Y41" s="132">
        <v>0</v>
      </c>
      <c r="Z41" s="204">
        <f>V41*(1-0.015)</f>
        <v>0</v>
      </c>
      <c r="AA41" s="434">
        <f>'[1]Форма.2.4'!AA41</f>
        <v>100</v>
      </c>
      <c r="AB41" s="438">
        <f>'[1]Форма.2.4'!AB41</f>
        <v>0.2</v>
      </c>
      <c r="AC41" s="132">
        <v>0</v>
      </c>
      <c r="AD41" s="204">
        <f>Z41*(1-0.015)</f>
        <v>0</v>
      </c>
      <c r="AE41" s="434">
        <f>'[1]Форма.2.4'!AE41</f>
        <v>100</v>
      </c>
      <c r="AF41" s="438">
        <f>'[1]Форма.2.4'!AF41</f>
        <v>0.2</v>
      </c>
      <c r="AG41" s="219">
        <f>IF($M41=0,0,AD41*0.985)</f>
        <v>0</v>
      </c>
      <c r="AH41" s="129">
        <v>100</v>
      </c>
      <c r="AI41" s="118">
        <v>0.2</v>
      </c>
      <c r="AJ41" s="135"/>
      <c r="AK41" s="293" t="s">
        <v>74</v>
      </c>
      <c r="AM41" s="116"/>
      <c r="AN41" s="141" t="s">
        <v>135</v>
      </c>
      <c r="AP41" s="282" t="s">
        <v>281</v>
      </c>
    </row>
    <row r="42" spans="1:42" ht="18.75" thickBot="1">
      <c r="A42" s="6"/>
      <c r="B42" s="282" t="s">
        <v>319</v>
      </c>
      <c r="C42" s="461">
        <v>2</v>
      </c>
      <c r="D42" s="426">
        <v>2</v>
      </c>
      <c r="E42" s="426">
        <v>2</v>
      </c>
      <c r="F42" s="426">
        <v>2</v>
      </c>
      <c r="G42" s="426">
        <v>2</v>
      </c>
      <c r="H42" s="426">
        <v>2</v>
      </c>
      <c r="I42" s="31"/>
      <c r="J42" s="31"/>
      <c r="K42" s="130">
        <f>AVERAGE(K59,K57,K51,K44,K43)</f>
        <v>2</v>
      </c>
      <c r="L42" s="296"/>
      <c r="O42" s="330"/>
      <c r="P42" s="432">
        <f>AVERAGE(P43,P44,P51,P57,P59)</f>
        <v>2</v>
      </c>
      <c r="Q42" s="133">
        <v>0</v>
      </c>
      <c r="R42" s="31"/>
      <c r="S42" s="330"/>
      <c r="T42" s="432">
        <f>AVERAGE(T43,T44,T51,T57,T59)</f>
        <v>2</v>
      </c>
      <c r="U42" s="133">
        <v>0</v>
      </c>
      <c r="V42" s="31"/>
      <c r="W42" s="330"/>
      <c r="X42" s="432">
        <f>AVERAGE(X43,X44,X51,X57,X59)</f>
        <v>2</v>
      </c>
      <c r="Y42" s="133">
        <v>0</v>
      </c>
      <c r="Z42" s="31"/>
      <c r="AA42" s="330"/>
      <c r="AB42" s="432">
        <f>AVERAGE(AB43,AB44,AB51,AB57,AB59)</f>
        <v>2</v>
      </c>
      <c r="AC42" s="133">
        <v>0</v>
      </c>
      <c r="AD42" s="31"/>
      <c r="AE42" s="330"/>
      <c r="AF42" s="432">
        <f>AVERAGE(AF43,AF44,AF51,AF57,AF59)</f>
        <v>2</v>
      </c>
      <c r="AG42" s="31"/>
      <c r="AH42" s="31"/>
      <c r="AI42" s="130">
        <v>2</v>
      </c>
      <c r="AJ42" s="136"/>
      <c r="AK42" s="171"/>
      <c r="AL42" s="104"/>
      <c r="AM42" s="122"/>
      <c r="AN42" s="142" t="s">
        <v>320</v>
      </c>
      <c r="AP42" s="280" t="s">
        <v>319</v>
      </c>
    </row>
    <row r="43" spans="1:42" ht="17.25" thickBot="1">
      <c r="A43" s="274"/>
      <c r="B43" s="282" t="s">
        <v>321</v>
      </c>
      <c r="C43" s="453">
        <f>'Форма.2.3'!$P$8</f>
        <v>2</v>
      </c>
      <c r="D43" s="405">
        <v>2</v>
      </c>
      <c r="E43" s="405">
        <v>2</v>
      </c>
      <c r="F43" s="405">
        <v>2</v>
      </c>
      <c r="G43" s="405">
        <v>2</v>
      </c>
      <c r="H43" s="405">
        <v>2</v>
      </c>
      <c r="I43" s="131">
        <f>'Форма.2.3'!K8</f>
        <v>1</v>
      </c>
      <c r="J43" s="129">
        <f>IF(AND(I43=0,N43&lt;&gt;0),0,IF(N43=0,100,I43/N43*100))</f>
        <v>100</v>
      </c>
      <c r="K43" s="199">
        <f>IF(J43=0,3,IF(J43&gt;120,3,IF(J43&lt;80,1,2)))</f>
        <v>2</v>
      </c>
      <c r="L43" s="296"/>
      <c r="M43" s="275">
        <f>'Форма.2.3'!L8</f>
        <v>1</v>
      </c>
      <c r="N43" s="275">
        <f>'Форма.2.3'!M8</f>
        <v>1</v>
      </c>
      <c r="O43" s="434">
        <f>'[1]Форма.2.4'!O43</f>
        <v>100</v>
      </c>
      <c r="P43" s="429">
        <f>'[1]Форма.2.4'!P43</f>
        <v>2</v>
      </c>
      <c r="Q43" s="133">
        <v>0</v>
      </c>
      <c r="R43" s="287">
        <f>N43</f>
        <v>1</v>
      </c>
      <c r="S43" s="434">
        <f>'[1]Форма.2.4'!S43</f>
        <v>100</v>
      </c>
      <c r="T43" s="429">
        <f>'[1]Форма.2.4'!T43</f>
        <v>2</v>
      </c>
      <c r="U43" s="133">
        <v>0</v>
      </c>
      <c r="V43" s="287">
        <f>R43</f>
        <v>1</v>
      </c>
      <c r="W43" s="434">
        <f>'[1]Форма.2.4'!W43</f>
        <v>100</v>
      </c>
      <c r="X43" s="429">
        <f>'[1]Форма.2.4'!X43</f>
        <v>2</v>
      </c>
      <c r="Y43" s="133">
        <v>0</v>
      </c>
      <c r="Z43" s="287">
        <f>V43</f>
        <v>1</v>
      </c>
      <c r="AA43" s="434">
        <f>'[1]Форма.2.4'!AA43</f>
        <v>100</v>
      </c>
      <c r="AB43" s="429">
        <f>'[1]Форма.2.4'!AB43</f>
        <v>2</v>
      </c>
      <c r="AC43" s="133">
        <v>0</v>
      </c>
      <c r="AD43" s="287">
        <f>Z43</f>
        <v>1</v>
      </c>
      <c r="AE43" s="434">
        <f>'[1]Форма.2.4'!AE43</f>
        <v>100</v>
      </c>
      <c r="AF43" s="429">
        <f>'[1]Форма.2.4'!AF43</f>
        <v>2</v>
      </c>
      <c r="AG43" s="219">
        <f>$N$43</f>
        <v>1</v>
      </c>
      <c r="AH43" s="129">
        <v>100</v>
      </c>
      <c r="AI43" s="199">
        <v>2</v>
      </c>
      <c r="AJ43" s="136"/>
      <c r="AK43" s="294" t="s">
        <v>25</v>
      </c>
      <c r="AL43" s="104"/>
      <c r="AM43" s="122"/>
      <c r="AN43" s="143" t="s">
        <v>154</v>
      </c>
      <c r="AP43" s="282" t="s">
        <v>294</v>
      </c>
    </row>
    <row r="44" spans="1:42" ht="17.25" thickBot="1">
      <c r="A44" s="17"/>
      <c r="B44" s="283" t="s">
        <v>174</v>
      </c>
      <c r="C44" s="458">
        <v>2</v>
      </c>
      <c r="D44" s="457">
        <v>2</v>
      </c>
      <c r="E44" s="457">
        <v>2</v>
      </c>
      <c r="F44" s="457">
        <v>2</v>
      </c>
      <c r="G44" s="457">
        <v>2</v>
      </c>
      <c r="H44" s="457">
        <v>2</v>
      </c>
      <c r="K44" s="22">
        <f>AVERAGE(K45,K46,K47,K48,K49,K50)</f>
        <v>2</v>
      </c>
      <c r="L44" s="296"/>
      <c r="O44" s="439"/>
      <c r="P44" s="437">
        <f>'[1]Форма.2.4'!P44</f>
        <v>2</v>
      </c>
      <c r="Q44" s="133">
        <v>0</v>
      </c>
      <c r="S44" s="439"/>
      <c r="T44" s="437">
        <f>'[1]Форма.2.4'!T44</f>
        <v>2</v>
      </c>
      <c r="U44" s="133">
        <v>0</v>
      </c>
      <c r="V44" s="31"/>
      <c r="W44" s="439"/>
      <c r="X44" s="437">
        <f>'[1]Форма.2.4'!X44</f>
        <v>2</v>
      </c>
      <c r="Y44" s="133">
        <v>0</v>
      </c>
      <c r="Z44" s="31"/>
      <c r="AA44" s="439"/>
      <c r="AB44" s="437">
        <f>'[1]Форма.2.4'!AB44</f>
        <v>2</v>
      </c>
      <c r="AC44" s="133">
        <v>0</v>
      </c>
      <c r="AD44" s="31"/>
      <c r="AE44" s="439"/>
      <c r="AF44" s="437">
        <f>'[1]Форма.2.4'!AF44</f>
        <v>2</v>
      </c>
      <c r="AG44" s="31"/>
      <c r="AH44" s="31"/>
      <c r="AI44" s="22">
        <v>2</v>
      </c>
      <c r="AJ44" s="136"/>
      <c r="AK44" s="294" t="s">
        <v>5</v>
      </c>
      <c r="AL44" s="104"/>
      <c r="AM44" s="122"/>
      <c r="AN44" s="143" t="s">
        <v>26</v>
      </c>
      <c r="AP44" s="281" t="s">
        <v>174</v>
      </c>
    </row>
    <row r="45" spans="1:42" ht="16.5">
      <c r="A45" s="5"/>
      <c r="B45" s="282" t="s">
        <v>351</v>
      </c>
      <c r="C45" s="453">
        <f>'Форма.2.3'!$P$10</f>
        <v>2</v>
      </c>
      <c r="D45" s="405">
        <v>2</v>
      </c>
      <c r="E45" s="405">
        <v>2</v>
      </c>
      <c r="F45" s="405">
        <v>2</v>
      </c>
      <c r="G45" s="405">
        <v>2</v>
      </c>
      <c r="H45" s="405">
        <v>2</v>
      </c>
      <c r="I45" s="131">
        <f>'Форма.2.3'!K10</f>
        <v>0</v>
      </c>
      <c r="J45" s="129">
        <f aca="true" t="shared" si="1" ref="J45:J50">IF(AND(I45=0,N45&lt;&gt;0),0,IF(N45=0,100,I45/N45*100))</f>
        <v>100</v>
      </c>
      <c r="K45" s="123">
        <f>IF(J45=0,3,IF(J45&gt;120,3,IF(J45&lt;80,1,2)))</f>
        <v>2</v>
      </c>
      <c r="L45" s="296"/>
      <c r="M45" s="228">
        <f>'Форма.2.3'!L10</f>
        <v>0</v>
      </c>
      <c r="N45" s="228">
        <f>'Форма.2.3'!M10</f>
        <v>0</v>
      </c>
      <c r="O45" s="434">
        <f>'[1]Форма.2.4'!O45</f>
        <v>100</v>
      </c>
      <c r="P45" s="435">
        <f>'[1]Форма.2.4'!P45</f>
        <v>2</v>
      </c>
      <c r="Q45" s="133">
        <v>0</v>
      </c>
      <c r="R45" s="204">
        <f aca="true" t="shared" si="2" ref="R45:R50">N45*(1-0.015)</f>
        <v>0</v>
      </c>
      <c r="S45" s="434">
        <f>'[1]Форма.2.4'!S45</f>
        <v>100</v>
      </c>
      <c r="T45" s="435">
        <f>'[1]Форма.2.4'!T45</f>
        <v>2</v>
      </c>
      <c r="U45" s="133">
        <v>0</v>
      </c>
      <c r="V45" s="204">
        <f aca="true" t="shared" si="3" ref="V45:V50">R45*(1-0.015)</f>
        <v>0</v>
      </c>
      <c r="W45" s="434">
        <f>'[1]Форма.2.4'!W45</f>
        <v>100</v>
      </c>
      <c r="X45" s="435">
        <f>'[1]Форма.2.4'!X45</f>
        <v>2</v>
      </c>
      <c r="Y45" s="133">
        <v>0</v>
      </c>
      <c r="Z45" s="204">
        <f aca="true" t="shared" si="4" ref="Z45:Z50">V45*(1-0.015)</f>
        <v>0</v>
      </c>
      <c r="AA45" s="434">
        <f>'[1]Форма.2.4'!AA45</f>
        <v>100</v>
      </c>
      <c r="AB45" s="435">
        <f>'[1]Форма.2.4'!AB45</f>
        <v>2</v>
      </c>
      <c r="AC45" s="133">
        <v>0</v>
      </c>
      <c r="AD45" s="204">
        <f aca="true" t="shared" si="5" ref="AD45:AD50">Z45*(1-0.015)</f>
        <v>0</v>
      </c>
      <c r="AE45" s="434">
        <f>'[1]Форма.2.4'!AE45</f>
        <v>100</v>
      </c>
      <c r="AF45" s="435">
        <f>'[1]Форма.2.4'!AF45</f>
        <v>2</v>
      </c>
      <c r="AG45" s="219">
        <f>IF($M45=0,0,AD45*0.985)</f>
        <v>0</v>
      </c>
      <c r="AH45" s="129">
        <v>101.5228426395939</v>
      </c>
      <c r="AI45" s="123">
        <v>2</v>
      </c>
      <c r="AJ45" s="136"/>
      <c r="AK45" s="294" t="s">
        <v>27</v>
      </c>
      <c r="AL45" s="104"/>
      <c r="AM45" s="122"/>
      <c r="AN45" s="143" t="s">
        <v>155</v>
      </c>
      <c r="AP45" s="282" t="s">
        <v>310</v>
      </c>
    </row>
    <row r="46" spans="1:42" ht="30">
      <c r="A46" s="5"/>
      <c r="B46" s="282" t="s">
        <v>352</v>
      </c>
      <c r="C46" s="453">
        <f>'Форма.2.3'!$P$11</f>
        <v>2</v>
      </c>
      <c r="D46" s="405">
        <v>2</v>
      </c>
      <c r="E46" s="405">
        <v>2</v>
      </c>
      <c r="F46" s="405">
        <v>2</v>
      </c>
      <c r="G46" s="405">
        <v>2</v>
      </c>
      <c r="H46" s="405">
        <v>2</v>
      </c>
      <c r="I46" s="131">
        <f>'Форма.2.3'!K11</f>
        <v>0</v>
      </c>
      <c r="J46" s="129">
        <f t="shared" si="1"/>
        <v>100</v>
      </c>
      <c r="K46" s="123">
        <f>IF(J46=0,3,IF(J46&gt;120,3,IF(J46&lt;80,1,2)))</f>
        <v>2</v>
      </c>
      <c r="L46" s="296"/>
      <c r="M46" s="228">
        <f>'Форма.2.3'!L11</f>
        <v>0</v>
      </c>
      <c r="N46" s="228">
        <f>'Форма.2.3'!M11</f>
        <v>0</v>
      </c>
      <c r="O46" s="434">
        <f>'[1]Форма.2.4'!O46</f>
        <v>100</v>
      </c>
      <c r="P46" s="429">
        <f>'[1]Форма.2.4'!P46</f>
        <v>2</v>
      </c>
      <c r="Q46" s="133">
        <v>0</v>
      </c>
      <c r="R46" s="204">
        <f t="shared" si="2"/>
        <v>0</v>
      </c>
      <c r="S46" s="434">
        <f>'[1]Форма.2.4'!S46</f>
        <v>100</v>
      </c>
      <c r="T46" s="429">
        <f>'[1]Форма.2.4'!T46</f>
        <v>2</v>
      </c>
      <c r="U46" s="133">
        <v>0</v>
      </c>
      <c r="V46" s="204">
        <f t="shared" si="3"/>
        <v>0</v>
      </c>
      <c r="W46" s="434">
        <f>'[1]Форма.2.4'!W46</f>
        <v>100</v>
      </c>
      <c r="X46" s="429">
        <f>'[1]Форма.2.4'!X46</f>
        <v>2</v>
      </c>
      <c r="Y46" s="133">
        <v>0</v>
      </c>
      <c r="Z46" s="204">
        <f t="shared" si="4"/>
        <v>0</v>
      </c>
      <c r="AA46" s="434">
        <f>'[1]Форма.2.4'!AA46</f>
        <v>100</v>
      </c>
      <c r="AB46" s="429">
        <f>'[1]Форма.2.4'!AB46</f>
        <v>2</v>
      </c>
      <c r="AC46" s="133">
        <v>0</v>
      </c>
      <c r="AD46" s="204">
        <f t="shared" si="5"/>
        <v>0</v>
      </c>
      <c r="AE46" s="434">
        <f>'[1]Форма.2.4'!AE46</f>
        <v>100</v>
      </c>
      <c r="AF46" s="429">
        <f>'[1]Форма.2.4'!AF46</f>
        <v>2</v>
      </c>
      <c r="AG46" s="219">
        <f>IF($M46=0,0,AD46*1.015)</f>
        <v>0</v>
      </c>
      <c r="AH46" s="129">
        <v>101.5228426395939</v>
      </c>
      <c r="AI46" s="123">
        <v>2</v>
      </c>
      <c r="AJ46" s="136"/>
      <c r="AK46" s="294" t="s">
        <v>25</v>
      </c>
      <c r="AL46" s="104"/>
      <c r="AM46" s="122"/>
      <c r="AN46" s="143" t="s">
        <v>156</v>
      </c>
      <c r="AP46" s="282" t="s">
        <v>295</v>
      </c>
    </row>
    <row r="47" spans="1:42" ht="16.5">
      <c r="A47" s="5"/>
      <c r="B47" s="282" t="s">
        <v>353</v>
      </c>
      <c r="C47" s="453">
        <f>'Форма.2.3'!$P$12</f>
        <v>2</v>
      </c>
      <c r="D47" s="405">
        <v>2</v>
      </c>
      <c r="E47" s="405">
        <v>2</v>
      </c>
      <c r="F47" s="405">
        <v>2</v>
      </c>
      <c r="G47" s="405">
        <v>2</v>
      </c>
      <c r="H47" s="405">
        <v>2</v>
      </c>
      <c r="I47" s="131">
        <f>'Форма.2.3'!K12</f>
        <v>0</v>
      </c>
      <c r="J47" s="129">
        <f t="shared" si="1"/>
        <v>100</v>
      </c>
      <c r="K47" s="123">
        <f>IF(J47=0,3,IF(J47&gt;120,3,IF(J47&lt;80,1,2)))</f>
        <v>2</v>
      </c>
      <c r="L47" s="296"/>
      <c r="M47" s="228">
        <f>'Форма.2.3'!L12</f>
        <v>0</v>
      </c>
      <c r="N47" s="228">
        <f>'Форма.2.3'!M12</f>
        <v>0</v>
      </c>
      <c r="O47" s="434">
        <f>'[1]Форма.2.4'!O47</f>
        <v>100</v>
      </c>
      <c r="P47" s="435">
        <f>'[1]Форма.2.4'!P47</f>
        <v>2</v>
      </c>
      <c r="Q47" s="133">
        <v>0</v>
      </c>
      <c r="R47" s="204">
        <f t="shared" si="2"/>
        <v>0</v>
      </c>
      <c r="S47" s="434">
        <f>'[1]Форма.2.4'!S47</f>
        <v>100</v>
      </c>
      <c r="T47" s="435">
        <f>'[1]Форма.2.4'!T47</f>
        <v>2</v>
      </c>
      <c r="U47" s="133">
        <v>0</v>
      </c>
      <c r="V47" s="204">
        <f t="shared" si="3"/>
        <v>0</v>
      </c>
      <c r="W47" s="434">
        <f>'[1]Форма.2.4'!W47</f>
        <v>100</v>
      </c>
      <c r="X47" s="435">
        <f>'[1]Форма.2.4'!X47</f>
        <v>2</v>
      </c>
      <c r="Y47" s="133">
        <v>0</v>
      </c>
      <c r="Z47" s="204">
        <f t="shared" si="4"/>
        <v>0</v>
      </c>
      <c r="AA47" s="434">
        <f>'[1]Форма.2.4'!AA47</f>
        <v>100</v>
      </c>
      <c r="AB47" s="435">
        <f>'[1]Форма.2.4'!AB47</f>
        <v>2</v>
      </c>
      <c r="AC47" s="133">
        <v>0</v>
      </c>
      <c r="AD47" s="204">
        <f t="shared" si="5"/>
        <v>0</v>
      </c>
      <c r="AE47" s="434">
        <f>'[1]Форма.2.4'!AE47</f>
        <v>100</v>
      </c>
      <c r="AF47" s="435">
        <f>'[1]Форма.2.4'!AF47</f>
        <v>2</v>
      </c>
      <c r="AG47" s="219">
        <f>IF($M47=0,0,AD47*0.985)</f>
        <v>0</v>
      </c>
      <c r="AH47" s="129">
        <v>100</v>
      </c>
      <c r="AI47" s="123">
        <v>2</v>
      </c>
      <c r="AJ47" s="136"/>
      <c r="AK47" s="294" t="s">
        <v>27</v>
      </c>
      <c r="AL47" s="104"/>
      <c r="AM47" s="122"/>
      <c r="AN47" s="143" t="s">
        <v>157</v>
      </c>
      <c r="AP47" s="282" t="s">
        <v>311</v>
      </c>
    </row>
    <row r="48" spans="1:42" ht="16.5">
      <c r="A48" s="5"/>
      <c r="B48" s="282" t="s">
        <v>354</v>
      </c>
      <c r="C48" s="453">
        <f>'Форма.2.3'!$P$13</f>
        <v>2</v>
      </c>
      <c r="D48" s="405">
        <v>2</v>
      </c>
      <c r="E48" s="405">
        <v>2</v>
      </c>
      <c r="F48" s="405">
        <v>2</v>
      </c>
      <c r="G48" s="405">
        <v>2</v>
      </c>
      <c r="H48" s="405">
        <v>2</v>
      </c>
      <c r="I48" s="131">
        <f>'Форма.2.3'!K13</f>
        <v>0</v>
      </c>
      <c r="J48" s="129">
        <f t="shared" si="1"/>
        <v>100</v>
      </c>
      <c r="K48" s="123">
        <f>IF(J48=0,3,IF(J48&gt;120,3,IF(J48&lt;80,1,2)))</f>
        <v>2</v>
      </c>
      <c r="L48" s="296"/>
      <c r="M48" s="228">
        <f>'Форма.2.3'!L13</f>
        <v>0</v>
      </c>
      <c r="N48" s="228">
        <f>'Форма.2.3'!M13</f>
        <v>0</v>
      </c>
      <c r="O48" s="434">
        <f>'[1]Форма.2.4'!O48</f>
        <v>100</v>
      </c>
      <c r="P48" s="435">
        <f>'[1]Форма.2.4'!P48</f>
        <v>2</v>
      </c>
      <c r="Q48" s="133">
        <v>0</v>
      </c>
      <c r="R48" s="204">
        <f t="shared" si="2"/>
        <v>0</v>
      </c>
      <c r="S48" s="434">
        <f>'[1]Форма.2.4'!S48</f>
        <v>100</v>
      </c>
      <c r="T48" s="435">
        <f>'[1]Форма.2.4'!T48</f>
        <v>2</v>
      </c>
      <c r="U48" s="133">
        <v>0</v>
      </c>
      <c r="V48" s="204">
        <f t="shared" si="3"/>
        <v>0</v>
      </c>
      <c r="W48" s="434">
        <f>'[1]Форма.2.4'!W48</f>
        <v>100</v>
      </c>
      <c r="X48" s="435">
        <f>'[1]Форма.2.4'!X48</f>
        <v>2</v>
      </c>
      <c r="Y48" s="133">
        <v>0</v>
      </c>
      <c r="Z48" s="204">
        <f t="shared" si="4"/>
        <v>0</v>
      </c>
      <c r="AA48" s="434">
        <f>'[1]Форма.2.4'!AA48</f>
        <v>100</v>
      </c>
      <c r="AB48" s="435">
        <f>'[1]Форма.2.4'!AB48</f>
        <v>2</v>
      </c>
      <c r="AC48" s="133">
        <v>0</v>
      </c>
      <c r="AD48" s="204">
        <f t="shared" si="5"/>
        <v>0</v>
      </c>
      <c r="AE48" s="434">
        <f>'[1]Форма.2.4'!AE48</f>
        <v>100</v>
      </c>
      <c r="AF48" s="435">
        <f>'[1]Форма.2.4'!AF48</f>
        <v>2</v>
      </c>
      <c r="AG48" s="219">
        <f>IF($M48=0,0,AD48*0.985)</f>
        <v>0</v>
      </c>
      <c r="AH48" s="129">
        <v>100</v>
      </c>
      <c r="AI48" s="123">
        <v>2</v>
      </c>
      <c r="AJ48" s="136"/>
      <c r="AK48" s="294" t="s">
        <v>27</v>
      </c>
      <c r="AL48" s="104"/>
      <c r="AM48" s="122"/>
      <c r="AN48" s="143" t="s">
        <v>158</v>
      </c>
      <c r="AP48" s="282" t="s">
        <v>312</v>
      </c>
    </row>
    <row r="49" spans="1:42" ht="16.5">
      <c r="A49" s="5"/>
      <c r="B49" s="282" t="s">
        <v>355</v>
      </c>
      <c r="C49" s="453">
        <f>'Форма.2.3'!$P$14</f>
        <v>2</v>
      </c>
      <c r="D49" s="405">
        <v>2</v>
      </c>
      <c r="E49" s="405">
        <v>2</v>
      </c>
      <c r="F49" s="405">
        <v>2</v>
      </c>
      <c r="G49" s="405">
        <v>2</v>
      </c>
      <c r="H49" s="405">
        <v>2</v>
      </c>
      <c r="I49" s="131">
        <f>'Форма.2.3'!K14</f>
        <v>0</v>
      </c>
      <c r="J49" s="129">
        <f t="shared" si="1"/>
        <v>100</v>
      </c>
      <c r="K49" s="123">
        <f>IF(J49=0,1,IF(J49&lt;80,3,IF(J49&gt;120,1,2)))</f>
        <v>2</v>
      </c>
      <c r="L49" s="296"/>
      <c r="M49" s="228">
        <f>'Форма.2.3'!L14</f>
        <v>0</v>
      </c>
      <c r="N49" s="228">
        <f>'Форма.2.3'!M14</f>
        <v>0</v>
      </c>
      <c r="O49" s="434">
        <f>'[1]Форма.2.4'!O49</f>
        <v>100</v>
      </c>
      <c r="P49" s="429">
        <f>'[1]Форма.2.4'!P49</f>
        <v>2</v>
      </c>
      <c r="Q49" s="133">
        <v>0</v>
      </c>
      <c r="R49" s="204">
        <f t="shared" si="2"/>
        <v>0</v>
      </c>
      <c r="S49" s="434">
        <f>'[1]Форма.2.4'!S49</f>
        <v>100</v>
      </c>
      <c r="T49" s="429">
        <f>'[1]Форма.2.4'!T49</f>
        <v>2</v>
      </c>
      <c r="U49" s="133">
        <v>0</v>
      </c>
      <c r="V49" s="204">
        <f t="shared" si="3"/>
        <v>0</v>
      </c>
      <c r="W49" s="434">
        <f>'[1]Форма.2.4'!W49</f>
        <v>100</v>
      </c>
      <c r="X49" s="429">
        <f>'[1]Форма.2.4'!X49</f>
        <v>2</v>
      </c>
      <c r="Y49" s="133">
        <v>0</v>
      </c>
      <c r="Z49" s="204">
        <f t="shared" si="4"/>
        <v>0</v>
      </c>
      <c r="AA49" s="434">
        <f>'[1]Форма.2.4'!AA49</f>
        <v>100</v>
      </c>
      <c r="AB49" s="429">
        <f>'[1]Форма.2.4'!AB49</f>
        <v>2</v>
      </c>
      <c r="AC49" s="133">
        <v>0</v>
      </c>
      <c r="AD49" s="204">
        <f t="shared" si="5"/>
        <v>0</v>
      </c>
      <c r="AE49" s="434">
        <f>'[1]Форма.2.4'!AE49</f>
        <v>100</v>
      </c>
      <c r="AF49" s="429">
        <f>'[1]Форма.2.4'!AF49</f>
        <v>2</v>
      </c>
      <c r="AG49" s="219">
        <f>IF($M49=0,0,AD49*1.015)</f>
        <v>0</v>
      </c>
      <c r="AH49" s="129">
        <v>100</v>
      </c>
      <c r="AI49" s="123">
        <v>2</v>
      </c>
      <c r="AJ49" s="136"/>
      <c r="AK49" s="294" t="s">
        <v>25</v>
      </c>
      <c r="AL49" s="104"/>
      <c r="AM49" s="122"/>
      <c r="AN49" s="143" t="s">
        <v>159</v>
      </c>
      <c r="AP49" s="282" t="s">
        <v>296</v>
      </c>
    </row>
    <row r="50" spans="1:42" ht="30.75" thickBot="1">
      <c r="A50" s="5"/>
      <c r="B50" s="282" t="s">
        <v>356</v>
      </c>
      <c r="C50" s="453">
        <f>'Форма.2.3'!$P$15</f>
        <v>2</v>
      </c>
      <c r="D50" s="405">
        <v>2</v>
      </c>
      <c r="E50" s="405">
        <v>2</v>
      </c>
      <c r="F50" s="405">
        <v>2</v>
      </c>
      <c r="G50" s="405">
        <v>2</v>
      </c>
      <c r="H50" s="405">
        <v>2</v>
      </c>
      <c r="I50" s="131">
        <f>'Форма.2.3'!K15</f>
        <v>0</v>
      </c>
      <c r="J50" s="129">
        <f t="shared" si="1"/>
        <v>100</v>
      </c>
      <c r="K50" s="123">
        <f>IF(J50=0,1,IF(J50&lt;80,3,IF(J50&gt;120,1,2)))</f>
        <v>2</v>
      </c>
      <c r="L50" s="296"/>
      <c r="M50" s="228">
        <f>'Форма.2.3'!L15</f>
        <v>0</v>
      </c>
      <c r="N50" s="228">
        <f>'Форма.2.3'!M15</f>
        <v>0</v>
      </c>
      <c r="O50" s="434">
        <f>'[1]Форма.2.4'!O50</f>
        <v>100</v>
      </c>
      <c r="P50" s="429">
        <f>'[1]Форма.2.4'!P50</f>
        <v>2</v>
      </c>
      <c r="Q50" s="133">
        <v>0</v>
      </c>
      <c r="R50" s="204">
        <f t="shared" si="2"/>
        <v>0</v>
      </c>
      <c r="S50" s="434">
        <f>'[1]Форма.2.4'!S50</f>
        <v>100</v>
      </c>
      <c r="T50" s="429">
        <f>'[1]Форма.2.4'!T50</f>
        <v>2</v>
      </c>
      <c r="U50" s="133">
        <v>0</v>
      </c>
      <c r="V50" s="204">
        <f t="shared" si="3"/>
        <v>0</v>
      </c>
      <c r="W50" s="434">
        <f>'[1]Форма.2.4'!W50</f>
        <v>100</v>
      </c>
      <c r="X50" s="429">
        <f>'[1]Форма.2.4'!X50</f>
        <v>2</v>
      </c>
      <c r="Y50" s="133">
        <v>0</v>
      </c>
      <c r="Z50" s="204">
        <f t="shared" si="4"/>
        <v>0</v>
      </c>
      <c r="AA50" s="434">
        <f>'[1]Форма.2.4'!AA50</f>
        <v>100</v>
      </c>
      <c r="AB50" s="429">
        <f>'[1]Форма.2.4'!AB50</f>
        <v>2</v>
      </c>
      <c r="AC50" s="133">
        <v>0</v>
      </c>
      <c r="AD50" s="204">
        <f t="shared" si="5"/>
        <v>0</v>
      </c>
      <c r="AE50" s="434">
        <f>'[1]Форма.2.4'!AE50</f>
        <v>100</v>
      </c>
      <c r="AF50" s="429">
        <f>'[1]Форма.2.4'!AF50</f>
        <v>2</v>
      </c>
      <c r="AG50" s="219">
        <f>IF($M50=0,0,AD50*1.015)</f>
        <v>0</v>
      </c>
      <c r="AH50" s="129">
        <v>101.5228426395939</v>
      </c>
      <c r="AI50" s="123">
        <v>2</v>
      </c>
      <c r="AJ50" s="136"/>
      <c r="AK50" s="294" t="s">
        <v>25</v>
      </c>
      <c r="AL50" s="104"/>
      <c r="AM50" s="122"/>
      <c r="AN50" s="143" t="s">
        <v>160</v>
      </c>
      <c r="AP50" s="282" t="s">
        <v>297</v>
      </c>
    </row>
    <row r="51" spans="1:42" ht="17.25" thickBot="1">
      <c r="A51" s="17"/>
      <c r="B51" s="283" t="s">
        <v>178</v>
      </c>
      <c r="C51" s="458">
        <v>2</v>
      </c>
      <c r="D51" s="457">
        <v>2</v>
      </c>
      <c r="E51" s="457">
        <v>2</v>
      </c>
      <c r="F51" s="457">
        <v>2</v>
      </c>
      <c r="G51" s="457">
        <v>2</v>
      </c>
      <c r="H51" s="457">
        <v>2</v>
      </c>
      <c r="K51" s="22">
        <f>AVERAGE(K52,K53)</f>
        <v>2</v>
      </c>
      <c r="L51" s="296"/>
      <c r="O51" s="439"/>
      <c r="P51" s="437">
        <f>'[1]Форма.2.4'!P51</f>
        <v>2</v>
      </c>
      <c r="Q51" s="133">
        <v>0</v>
      </c>
      <c r="S51" s="439"/>
      <c r="T51" s="437">
        <f>'[1]Форма.2.4'!T51</f>
        <v>2</v>
      </c>
      <c r="U51" s="133">
        <v>0</v>
      </c>
      <c r="V51" s="31"/>
      <c r="W51" s="439"/>
      <c r="X51" s="437">
        <f>'[1]Форма.2.4'!X51</f>
        <v>2</v>
      </c>
      <c r="Y51" s="133">
        <v>0</v>
      </c>
      <c r="Z51" s="31"/>
      <c r="AA51" s="439"/>
      <c r="AB51" s="437">
        <f>'[1]Форма.2.4'!AB51</f>
        <v>2</v>
      </c>
      <c r="AC51" s="133">
        <v>0</v>
      </c>
      <c r="AD51" s="31"/>
      <c r="AE51" s="439"/>
      <c r="AF51" s="437">
        <f>'[1]Форма.2.4'!AF51</f>
        <v>2</v>
      </c>
      <c r="AG51" s="31"/>
      <c r="AH51" s="31"/>
      <c r="AI51" s="22">
        <v>2</v>
      </c>
      <c r="AJ51" s="136"/>
      <c r="AK51" s="294" t="s">
        <v>5</v>
      </c>
      <c r="AL51" s="104"/>
      <c r="AM51" s="122"/>
      <c r="AN51" s="143" t="s">
        <v>28</v>
      </c>
      <c r="AP51" s="281" t="s">
        <v>178</v>
      </c>
    </row>
    <row r="52" spans="1:42" ht="17.25" thickBot="1">
      <c r="A52" s="5"/>
      <c r="B52" s="282" t="s">
        <v>357</v>
      </c>
      <c r="C52" s="453">
        <f>'Форма.2.3'!$P$17</f>
        <v>2</v>
      </c>
      <c r="D52" s="405">
        <v>2</v>
      </c>
      <c r="E52" s="405">
        <v>2</v>
      </c>
      <c r="F52" s="405">
        <v>2</v>
      </c>
      <c r="G52" s="405">
        <v>2</v>
      </c>
      <c r="H52" s="405">
        <v>2</v>
      </c>
      <c r="I52" s="131">
        <f>'Форма.2.3'!K17</f>
        <v>1</v>
      </c>
      <c r="J52" s="129">
        <f>IF(AND(I52=0,N52&lt;&gt;0),0,IF(N52=0,100,I52/N52*100))</f>
        <v>100</v>
      </c>
      <c r="K52" s="123">
        <f>IF(J52=0,3,IF(J52&gt;120,3,IF(J52&lt;80,1,2)))</f>
        <v>2</v>
      </c>
      <c r="L52" s="296"/>
      <c r="M52" s="228">
        <f>'Форма.2.3'!L17</f>
        <v>1</v>
      </c>
      <c r="N52" s="228">
        <f>'Форма.2.3'!M17</f>
        <v>1</v>
      </c>
      <c r="O52" s="434">
        <f>'[1]Форма.2.4'!O52</f>
        <v>100</v>
      </c>
      <c r="P52" s="435">
        <f>'[1]Форма.2.4'!P52</f>
        <v>2</v>
      </c>
      <c r="Q52" s="133">
        <v>0</v>
      </c>
      <c r="R52" s="204">
        <f>N52*(1-0.015)</f>
        <v>0.985</v>
      </c>
      <c r="S52" s="434">
        <f>'[1]Форма.2.4'!S52</f>
        <v>100</v>
      </c>
      <c r="T52" s="435">
        <f>'[1]Форма.2.4'!T52</f>
        <v>2</v>
      </c>
      <c r="U52" s="133">
        <v>0</v>
      </c>
      <c r="V52" s="204">
        <f>R52*(1-0.015)</f>
        <v>0.970225</v>
      </c>
      <c r="W52" s="434">
        <f>'[1]Форма.2.4'!W52</f>
        <v>100</v>
      </c>
      <c r="X52" s="435">
        <f>'[1]Форма.2.4'!X52</f>
        <v>2</v>
      </c>
      <c r="Y52" s="133">
        <v>0</v>
      </c>
      <c r="Z52" s="204">
        <f>V52*(1-0.015)</f>
        <v>0.955671625</v>
      </c>
      <c r="AA52" s="434">
        <f>'[1]Форма.2.4'!AA52</f>
        <v>100</v>
      </c>
      <c r="AB52" s="435">
        <f>'[1]Форма.2.4'!AB52</f>
        <v>2</v>
      </c>
      <c r="AC52" s="133">
        <v>0</v>
      </c>
      <c r="AD52" s="204">
        <f>Z52*(1-0.015)</f>
        <v>0.941336550625</v>
      </c>
      <c r="AE52" s="434">
        <f>'[1]Форма.2.4'!AE52</f>
        <v>100</v>
      </c>
      <c r="AF52" s="435">
        <f>'[1]Форма.2.4'!AF52</f>
        <v>2</v>
      </c>
      <c r="AG52" s="219">
        <f>IF($M52=0,0,AD52*0.985)</f>
        <v>0.927216502365625</v>
      </c>
      <c r="AH52" s="129">
        <v>101.5228426395939</v>
      </c>
      <c r="AI52" s="123">
        <v>2</v>
      </c>
      <c r="AJ52" s="136"/>
      <c r="AK52" s="294" t="s">
        <v>27</v>
      </c>
      <c r="AL52" s="104"/>
      <c r="AM52" s="122"/>
      <c r="AN52" s="143" t="s">
        <v>161</v>
      </c>
      <c r="AP52" s="282" t="s">
        <v>313</v>
      </c>
    </row>
    <row r="53" spans="1:42" ht="17.25" thickBot="1">
      <c r="A53" s="17"/>
      <c r="B53" s="283" t="s">
        <v>358</v>
      </c>
      <c r="C53" s="458">
        <v>2</v>
      </c>
      <c r="D53" s="457">
        <v>2</v>
      </c>
      <c r="E53" s="457">
        <v>2</v>
      </c>
      <c r="F53" s="457">
        <v>2</v>
      </c>
      <c r="G53" s="457">
        <v>2</v>
      </c>
      <c r="H53" s="457">
        <v>2</v>
      </c>
      <c r="K53" s="201">
        <f>AVERAGE(K54,K55,K56)</f>
        <v>2</v>
      </c>
      <c r="L53" s="296"/>
      <c r="O53" s="439"/>
      <c r="P53" s="437">
        <f>'[1]Форма.2.4'!P53</f>
        <v>2</v>
      </c>
      <c r="Q53" s="133">
        <v>0</v>
      </c>
      <c r="S53" s="439"/>
      <c r="T53" s="437">
        <f>'[1]Форма.2.4'!T53</f>
        <v>2</v>
      </c>
      <c r="U53" s="133">
        <v>0</v>
      </c>
      <c r="V53" s="31"/>
      <c r="W53" s="439"/>
      <c r="X53" s="437">
        <f>'[1]Форма.2.4'!X53</f>
        <v>2</v>
      </c>
      <c r="Y53" s="133">
        <v>0</v>
      </c>
      <c r="Z53" s="31"/>
      <c r="AA53" s="439"/>
      <c r="AB53" s="437">
        <f>'[1]Форма.2.4'!AB53</f>
        <v>2</v>
      </c>
      <c r="AC53" s="133">
        <v>0</v>
      </c>
      <c r="AD53" s="31"/>
      <c r="AE53" s="439"/>
      <c r="AF53" s="437">
        <f>'[1]Форма.2.4'!AF53</f>
        <v>2</v>
      </c>
      <c r="AG53" s="31"/>
      <c r="AH53" s="31"/>
      <c r="AI53" s="201">
        <v>2</v>
      </c>
      <c r="AJ53" s="136"/>
      <c r="AK53" s="294" t="s">
        <v>25</v>
      </c>
      <c r="AL53" s="104"/>
      <c r="AM53" s="122"/>
      <c r="AN53" s="143" t="s">
        <v>172</v>
      </c>
      <c r="AP53" s="281" t="s">
        <v>298</v>
      </c>
    </row>
    <row r="54" spans="1:42" ht="16.5">
      <c r="A54" s="5"/>
      <c r="B54" s="282" t="s">
        <v>359</v>
      </c>
      <c r="C54" s="453">
        <f>'Форма.2.3'!$P$19</f>
        <v>2</v>
      </c>
      <c r="D54" s="405">
        <v>2</v>
      </c>
      <c r="E54" s="405">
        <v>2</v>
      </c>
      <c r="F54" s="405">
        <v>2</v>
      </c>
      <c r="G54" s="405">
        <v>2</v>
      </c>
      <c r="H54" s="405">
        <v>2</v>
      </c>
      <c r="I54" s="131">
        <f>'Форма.2.3'!K19</f>
        <v>0</v>
      </c>
      <c r="J54" s="129">
        <f>IF(AND(I54=0,N54&lt;&gt;0),0,IF(N54=0,100,I54/N54*100))</f>
        <v>100</v>
      </c>
      <c r="K54" s="123">
        <f>IF(J54=0,1,IF(J54&lt;80,3,IF(J54&gt;120,1,2)))</f>
        <v>2</v>
      </c>
      <c r="L54" s="296"/>
      <c r="M54" s="228">
        <f>'Форма.2.3'!L19</f>
        <v>0</v>
      </c>
      <c r="N54" s="228">
        <f>'Форма.2.3'!M19</f>
        <v>0</v>
      </c>
      <c r="O54" s="434">
        <f>'[1]Форма.2.4'!O54</f>
        <v>100</v>
      </c>
      <c r="P54" s="429">
        <f>'[1]Форма.2.4'!P54</f>
        <v>2</v>
      </c>
      <c r="Q54" s="133">
        <v>0</v>
      </c>
      <c r="R54" s="204">
        <f>N54*(1-0.015)</f>
        <v>0</v>
      </c>
      <c r="S54" s="434">
        <f>'[1]Форма.2.4'!S54</f>
        <v>100</v>
      </c>
      <c r="T54" s="429">
        <f>'[1]Форма.2.4'!T54</f>
        <v>2</v>
      </c>
      <c r="U54" s="133">
        <v>0</v>
      </c>
      <c r="V54" s="204">
        <f>R54*(1-0.015)</f>
        <v>0</v>
      </c>
      <c r="W54" s="434">
        <f>'[1]Форма.2.4'!W54</f>
        <v>100</v>
      </c>
      <c r="X54" s="429">
        <f>'[1]Форма.2.4'!X54</f>
        <v>2</v>
      </c>
      <c r="Y54" s="133">
        <v>0</v>
      </c>
      <c r="Z54" s="204">
        <f>V54*(1-0.015)</f>
        <v>0</v>
      </c>
      <c r="AA54" s="434">
        <f>'[1]Форма.2.4'!AA54</f>
        <v>100</v>
      </c>
      <c r="AB54" s="429">
        <f>'[1]Форма.2.4'!AB54</f>
        <v>2</v>
      </c>
      <c r="AC54" s="133">
        <v>0</v>
      </c>
      <c r="AD54" s="204">
        <f>Z54*(1-0.015)</f>
        <v>0</v>
      </c>
      <c r="AE54" s="434">
        <f>'[1]Форма.2.4'!AE54</f>
        <v>100</v>
      </c>
      <c r="AF54" s="429">
        <f>'[1]Форма.2.4'!AF54</f>
        <v>2</v>
      </c>
      <c r="AG54" s="219">
        <f>IF($M54=0,0,AD54*1.015)</f>
        <v>0</v>
      </c>
      <c r="AH54" s="129">
        <v>100</v>
      </c>
      <c r="AI54" s="123">
        <v>2</v>
      </c>
      <c r="AJ54" s="136"/>
      <c r="AK54" s="294" t="s">
        <v>5</v>
      </c>
      <c r="AL54" s="104"/>
      <c r="AM54" s="122"/>
      <c r="AN54" s="143" t="s">
        <v>29</v>
      </c>
      <c r="AP54" s="282" t="s">
        <v>299</v>
      </c>
    </row>
    <row r="55" spans="1:42" ht="16.5">
      <c r="A55" s="5"/>
      <c r="B55" s="282" t="s">
        <v>360</v>
      </c>
      <c r="C55" s="453">
        <f>'Форма.2.3'!$P$20</f>
        <v>2</v>
      </c>
      <c r="D55" s="405">
        <v>2</v>
      </c>
      <c r="E55" s="405">
        <v>2</v>
      </c>
      <c r="F55" s="405">
        <v>2</v>
      </c>
      <c r="G55" s="405">
        <v>2</v>
      </c>
      <c r="H55" s="405">
        <v>2</v>
      </c>
      <c r="I55" s="131">
        <f>'Форма.2.3'!K20</f>
        <v>0</v>
      </c>
      <c r="J55" s="129">
        <f>IF(AND(I55=0,N55&lt;&gt;0),0,IF(N55=0,100,I55/N55*100))</f>
        <v>100</v>
      </c>
      <c r="K55" s="123">
        <f>IF(J55=0,1,IF(J55&lt;80,3,IF(J55&gt;120,1,2)))</f>
        <v>2</v>
      </c>
      <c r="L55" s="296"/>
      <c r="M55" s="228">
        <f>'Форма.2.3'!L20</f>
        <v>0</v>
      </c>
      <c r="N55" s="228">
        <f>'Форма.2.3'!M20</f>
        <v>0</v>
      </c>
      <c r="O55" s="434">
        <f>'[1]Форма.2.4'!O55</f>
        <v>100</v>
      </c>
      <c r="P55" s="429">
        <f>'[1]Форма.2.4'!P55</f>
        <v>2</v>
      </c>
      <c r="Q55" s="133">
        <v>0</v>
      </c>
      <c r="R55" s="204">
        <f>N55*(1-0.015)</f>
        <v>0</v>
      </c>
      <c r="S55" s="434">
        <f>'[1]Форма.2.4'!S55</f>
        <v>100</v>
      </c>
      <c r="T55" s="429">
        <f>'[1]Форма.2.4'!T55</f>
        <v>2</v>
      </c>
      <c r="U55" s="133">
        <v>0</v>
      </c>
      <c r="V55" s="204">
        <f>R55*(1-0.015)</f>
        <v>0</v>
      </c>
      <c r="W55" s="434">
        <f>'[1]Форма.2.4'!W55</f>
        <v>100</v>
      </c>
      <c r="X55" s="429">
        <f>'[1]Форма.2.4'!X55</f>
        <v>2</v>
      </c>
      <c r="Y55" s="133">
        <v>0</v>
      </c>
      <c r="Z55" s="204">
        <f>V55*(1-0.015)</f>
        <v>0</v>
      </c>
      <c r="AA55" s="434">
        <f>'[1]Форма.2.4'!AA55</f>
        <v>100</v>
      </c>
      <c r="AB55" s="429">
        <f>'[1]Форма.2.4'!AB55</f>
        <v>2</v>
      </c>
      <c r="AC55" s="133">
        <v>0</v>
      </c>
      <c r="AD55" s="204">
        <f>Z55*(1-0.015)</f>
        <v>0</v>
      </c>
      <c r="AE55" s="434">
        <f>'[1]Форма.2.4'!AE55</f>
        <v>100</v>
      </c>
      <c r="AF55" s="429">
        <f>'[1]Форма.2.4'!AF55</f>
        <v>2</v>
      </c>
      <c r="AG55" s="219">
        <f>IF($M55=0,0,AD55*1.015)</f>
        <v>0</v>
      </c>
      <c r="AH55" s="129">
        <v>100</v>
      </c>
      <c r="AI55" s="123">
        <v>2</v>
      </c>
      <c r="AJ55" s="136"/>
      <c r="AK55" s="294" t="s">
        <v>5</v>
      </c>
      <c r="AL55" s="104"/>
      <c r="AM55" s="122"/>
      <c r="AN55" s="143" t="s">
        <v>30</v>
      </c>
      <c r="AP55" s="282" t="s">
        <v>300</v>
      </c>
    </row>
    <row r="56" spans="1:42" ht="17.25" thickBot="1">
      <c r="A56" s="5"/>
      <c r="B56" s="282" t="s">
        <v>361</v>
      </c>
      <c r="C56" s="453">
        <f>'Форма.2.3'!$P$21</f>
        <v>2</v>
      </c>
      <c r="D56" s="405">
        <v>2</v>
      </c>
      <c r="E56" s="405">
        <v>2</v>
      </c>
      <c r="F56" s="405">
        <v>2</v>
      </c>
      <c r="G56" s="405">
        <v>2</v>
      </c>
      <c r="H56" s="405">
        <v>2</v>
      </c>
      <c r="I56" s="131">
        <f>'Форма.2.3'!K21</f>
        <v>0</v>
      </c>
      <c r="J56" s="129">
        <f>IF(AND(I56=0,N56&lt;&gt;0),0,IF(N56=0,100,I56/N56*100))</f>
        <v>100</v>
      </c>
      <c r="K56" s="123">
        <f>IF(J56=0,1,IF(J56&lt;80,3,IF(J56&gt;120,1,2)))</f>
        <v>2</v>
      </c>
      <c r="L56" s="296"/>
      <c r="M56" s="228">
        <f>'Форма.2.3'!L21</f>
        <v>0</v>
      </c>
      <c r="N56" s="228">
        <f>'Форма.2.3'!M21</f>
        <v>0</v>
      </c>
      <c r="O56" s="434">
        <f>'[1]Форма.2.4'!O56</f>
        <v>100</v>
      </c>
      <c r="P56" s="429">
        <f>'[1]Форма.2.4'!P56</f>
        <v>2</v>
      </c>
      <c r="Q56" s="133">
        <v>0</v>
      </c>
      <c r="R56" s="204">
        <f>N56*(1-0.015)</f>
        <v>0</v>
      </c>
      <c r="S56" s="434">
        <f>'[1]Форма.2.4'!S56</f>
        <v>100</v>
      </c>
      <c r="T56" s="429">
        <f>'[1]Форма.2.4'!T56</f>
        <v>2</v>
      </c>
      <c r="U56" s="133">
        <v>0</v>
      </c>
      <c r="V56" s="204">
        <f>R56*(1-0.015)</f>
        <v>0</v>
      </c>
      <c r="W56" s="434">
        <f>'[1]Форма.2.4'!W56</f>
        <v>100</v>
      </c>
      <c r="X56" s="429">
        <f>'[1]Форма.2.4'!X56</f>
        <v>2</v>
      </c>
      <c r="Y56" s="133">
        <v>0</v>
      </c>
      <c r="Z56" s="204">
        <f>V56*(1-0.015)</f>
        <v>0</v>
      </c>
      <c r="AA56" s="434">
        <f>'[1]Форма.2.4'!AA56</f>
        <v>100</v>
      </c>
      <c r="AB56" s="429">
        <f>'[1]Форма.2.4'!AB56</f>
        <v>2</v>
      </c>
      <c r="AC56" s="133">
        <v>0</v>
      </c>
      <c r="AD56" s="204">
        <f>Z56*(1-0.015)</f>
        <v>0</v>
      </c>
      <c r="AE56" s="434">
        <f>'[1]Форма.2.4'!AE56</f>
        <v>100</v>
      </c>
      <c r="AF56" s="429">
        <f>'[1]Форма.2.4'!AF56</f>
        <v>2</v>
      </c>
      <c r="AG56" s="219">
        <f>IF($M56=0,0,AD56*1.015)</f>
        <v>0</v>
      </c>
      <c r="AH56" s="129">
        <v>100</v>
      </c>
      <c r="AI56" s="123">
        <v>2</v>
      </c>
      <c r="AJ56" s="136"/>
      <c r="AK56" s="294" t="s">
        <v>5</v>
      </c>
      <c r="AL56" s="104"/>
      <c r="AM56" s="122"/>
      <c r="AN56" s="143" t="s">
        <v>162</v>
      </c>
      <c r="AP56" s="282" t="s">
        <v>301</v>
      </c>
    </row>
    <row r="57" spans="1:42" ht="17.25" thickBot="1">
      <c r="A57" s="17"/>
      <c r="B57" s="283" t="s">
        <v>362</v>
      </c>
      <c r="C57" s="458">
        <v>2</v>
      </c>
      <c r="D57" s="457">
        <v>2</v>
      </c>
      <c r="E57" s="457">
        <v>2</v>
      </c>
      <c r="F57" s="457">
        <v>2</v>
      </c>
      <c r="G57" s="457">
        <v>2</v>
      </c>
      <c r="H57" s="457">
        <v>2</v>
      </c>
      <c r="K57" s="22">
        <f>K58</f>
        <v>2</v>
      </c>
      <c r="L57" s="296"/>
      <c r="O57" s="439"/>
      <c r="P57" s="437">
        <f>'[1]Форма.2.4'!P57</f>
        <v>2</v>
      </c>
      <c r="Q57" s="133">
        <v>0</v>
      </c>
      <c r="S57" s="439"/>
      <c r="T57" s="437">
        <f>'[1]Форма.2.4'!T57</f>
        <v>2</v>
      </c>
      <c r="U57" s="133">
        <v>0</v>
      </c>
      <c r="V57" s="31"/>
      <c r="W57" s="439"/>
      <c r="X57" s="437">
        <f>'[1]Форма.2.4'!X57</f>
        <v>2</v>
      </c>
      <c r="Y57" s="133">
        <v>0</v>
      </c>
      <c r="Z57" s="31"/>
      <c r="AA57" s="439"/>
      <c r="AB57" s="437">
        <f>'[1]Форма.2.4'!AB57</f>
        <v>2</v>
      </c>
      <c r="AC57" s="133">
        <v>0</v>
      </c>
      <c r="AD57" s="31"/>
      <c r="AE57" s="439"/>
      <c r="AF57" s="437">
        <f>'[1]Форма.2.4'!AF57</f>
        <v>2</v>
      </c>
      <c r="AG57" s="31"/>
      <c r="AH57" s="31"/>
      <c r="AI57" s="22">
        <v>2</v>
      </c>
      <c r="AJ57" s="136"/>
      <c r="AK57" s="294" t="s">
        <v>27</v>
      </c>
      <c r="AL57" s="104"/>
      <c r="AM57" s="122"/>
      <c r="AN57" s="143" t="s">
        <v>32</v>
      </c>
      <c r="AP57" s="281" t="s">
        <v>315</v>
      </c>
    </row>
    <row r="58" spans="1:42" ht="17.25" thickBot="1">
      <c r="A58" s="5"/>
      <c r="B58" s="282" t="s">
        <v>350</v>
      </c>
      <c r="C58" s="453">
        <f>'Форма.2.3'!$P$23</f>
        <v>2</v>
      </c>
      <c r="D58" s="405">
        <v>2</v>
      </c>
      <c r="E58" s="405">
        <v>2</v>
      </c>
      <c r="F58" s="405">
        <v>2</v>
      </c>
      <c r="G58" s="405">
        <v>2</v>
      </c>
      <c r="H58" s="405">
        <v>2</v>
      </c>
      <c r="I58" s="131">
        <f>'Форма.2.3'!K23</f>
        <v>0</v>
      </c>
      <c r="J58" s="129">
        <f>IF(AND(I58=0,N58&lt;&gt;0),0,IF(N58=0,100,I58/N58*100))</f>
        <v>100</v>
      </c>
      <c r="K58" s="123">
        <f>IF(J58=0,3,IF(J49&gt;120,3,IF(J49&lt;80,1,2)))</f>
        <v>2</v>
      </c>
      <c r="L58" s="296"/>
      <c r="M58" s="228">
        <f>'Форма.2.3'!L23</f>
        <v>0</v>
      </c>
      <c r="N58" s="228">
        <f>'Форма.2.3'!M23</f>
        <v>0</v>
      </c>
      <c r="O58" s="434">
        <f>'[1]Форма.2.4'!O58</f>
        <v>100</v>
      </c>
      <c r="P58" s="435">
        <f>'[1]Форма.2.4'!P58</f>
        <v>2</v>
      </c>
      <c r="Q58" s="133">
        <v>0</v>
      </c>
      <c r="R58" s="204">
        <f>N58*(1-0.015)</f>
        <v>0</v>
      </c>
      <c r="S58" s="434">
        <f>'[1]Форма.2.4'!S58</f>
        <v>100</v>
      </c>
      <c r="T58" s="435">
        <f>'[1]Форма.2.4'!T58</f>
        <v>2</v>
      </c>
      <c r="U58" s="133">
        <v>0</v>
      </c>
      <c r="V58" s="204">
        <f>R58*(1-0.015)</f>
        <v>0</v>
      </c>
      <c r="W58" s="434">
        <f>'[1]Форма.2.4'!W58</f>
        <v>100</v>
      </c>
      <c r="X58" s="435">
        <f>'[1]Форма.2.4'!X58</f>
        <v>2</v>
      </c>
      <c r="Y58" s="133">
        <v>0</v>
      </c>
      <c r="Z58" s="204">
        <f>V58*(1-0.015)</f>
        <v>0</v>
      </c>
      <c r="AA58" s="434">
        <f>'[1]Форма.2.4'!AA58</f>
        <v>100</v>
      </c>
      <c r="AB58" s="435">
        <f>'[1]Форма.2.4'!AB58</f>
        <v>2</v>
      </c>
      <c r="AC58" s="133">
        <v>0</v>
      </c>
      <c r="AD58" s="204">
        <f>Z58*(1-0.015)</f>
        <v>0</v>
      </c>
      <c r="AE58" s="434">
        <f>'[1]Форма.2.4'!AE58</f>
        <v>100</v>
      </c>
      <c r="AF58" s="435">
        <f>'[1]Форма.2.4'!AF58</f>
        <v>2</v>
      </c>
      <c r="AG58" s="219">
        <f>IF($M58=0,0,AD58*0.985)</f>
        <v>0</v>
      </c>
      <c r="AH58" s="129">
        <v>100</v>
      </c>
      <c r="AI58" s="123">
        <v>2</v>
      </c>
      <c r="AJ58" s="136"/>
      <c r="AK58" s="294"/>
      <c r="AL58" s="104"/>
      <c r="AM58" s="122"/>
      <c r="AN58" s="143" t="s">
        <v>163</v>
      </c>
      <c r="AP58" s="282" t="s">
        <v>314</v>
      </c>
    </row>
    <row r="59" spans="1:42" ht="17.25" thickBot="1">
      <c r="A59" s="17"/>
      <c r="B59" s="283" t="s">
        <v>175</v>
      </c>
      <c r="C59" s="458">
        <v>2</v>
      </c>
      <c r="D59" s="457">
        <v>2</v>
      </c>
      <c r="E59" s="457">
        <v>2</v>
      </c>
      <c r="F59" s="457">
        <v>2</v>
      </c>
      <c r="G59" s="457">
        <v>2</v>
      </c>
      <c r="H59" s="457">
        <v>2</v>
      </c>
      <c r="K59" s="22">
        <f>AVERAGE(K60,K61)</f>
        <v>2</v>
      </c>
      <c r="L59" s="296"/>
      <c r="O59" s="330"/>
      <c r="P59" s="437">
        <f>'[1]Форма.2.4'!P59</f>
        <v>2</v>
      </c>
      <c r="Q59" s="133">
        <v>0</v>
      </c>
      <c r="S59" s="330"/>
      <c r="T59" s="437">
        <f>'[1]Форма.2.4'!T59</f>
        <v>2</v>
      </c>
      <c r="U59" s="133">
        <v>0</v>
      </c>
      <c r="V59" s="31"/>
      <c r="W59" s="330"/>
      <c r="X59" s="437">
        <f>'[1]Форма.2.4'!X59</f>
        <v>2</v>
      </c>
      <c r="Y59" s="133">
        <v>0</v>
      </c>
      <c r="Z59" s="31"/>
      <c r="AA59" s="330"/>
      <c r="AB59" s="437">
        <f>'[1]Форма.2.4'!AB59</f>
        <v>2</v>
      </c>
      <c r="AC59" s="133">
        <v>0</v>
      </c>
      <c r="AD59" s="31"/>
      <c r="AE59" s="330"/>
      <c r="AF59" s="437">
        <f>'[1]Форма.2.4'!AF59</f>
        <v>2</v>
      </c>
      <c r="AG59" s="31"/>
      <c r="AH59" s="31"/>
      <c r="AI59" s="22">
        <v>2</v>
      </c>
      <c r="AJ59" s="136"/>
      <c r="AK59" s="294" t="s">
        <v>5</v>
      </c>
      <c r="AL59" s="104"/>
      <c r="AM59" s="122"/>
      <c r="AN59" s="143" t="s">
        <v>173</v>
      </c>
      <c r="AP59" s="281" t="s">
        <v>175</v>
      </c>
    </row>
    <row r="60" spans="1:42" ht="16.5">
      <c r="A60" s="5"/>
      <c r="B60" s="282" t="s">
        <v>335</v>
      </c>
      <c r="C60" s="453">
        <f>'Форма.2.3'!$P$25</f>
        <v>2</v>
      </c>
      <c r="D60" s="405">
        <v>2</v>
      </c>
      <c r="E60" s="405">
        <v>2</v>
      </c>
      <c r="F60" s="405">
        <v>2</v>
      </c>
      <c r="G60" s="405">
        <v>2</v>
      </c>
      <c r="H60" s="405">
        <v>2</v>
      </c>
      <c r="I60" s="131">
        <f>'Форма.2.3'!K25</f>
        <v>0</v>
      </c>
      <c r="J60" s="129">
        <f>IF(AND(I60=0,N60&lt;&gt;0),0,IF(N60=0,100,I60/N60*100))</f>
        <v>100</v>
      </c>
      <c r="K60" s="123">
        <f>IF(J60=0,3,IF(J60&gt;120,3,IF(J60&lt;80,1,2)))</f>
        <v>2</v>
      </c>
      <c r="L60" s="296"/>
      <c r="M60" s="228">
        <f>'Форма.2.3'!L25</f>
        <v>0</v>
      </c>
      <c r="N60" s="228">
        <f>'Форма.2.3'!M25</f>
        <v>0</v>
      </c>
      <c r="O60" s="434">
        <f>'[1]Форма.2.4'!O60</f>
        <v>100</v>
      </c>
      <c r="P60" s="435">
        <f>'[1]Форма.2.4'!P60</f>
        <v>2</v>
      </c>
      <c r="Q60" s="133">
        <v>0</v>
      </c>
      <c r="R60" s="204">
        <f>N60*(1-0.015)</f>
        <v>0</v>
      </c>
      <c r="S60" s="434">
        <f>'[1]Форма.2.4'!S60</f>
        <v>100</v>
      </c>
      <c r="T60" s="435">
        <f>'[1]Форма.2.4'!T60</f>
        <v>2</v>
      </c>
      <c r="U60" s="133">
        <v>0</v>
      </c>
      <c r="V60" s="204">
        <f>R60*(1-0.015)</f>
        <v>0</v>
      </c>
      <c r="W60" s="434">
        <f>'[1]Форма.2.4'!W60</f>
        <v>100</v>
      </c>
      <c r="X60" s="435">
        <f>'[1]Форма.2.4'!X60</f>
        <v>2</v>
      </c>
      <c r="Y60" s="133">
        <v>0</v>
      </c>
      <c r="Z60" s="204">
        <f>V60*(1-0.015)</f>
        <v>0</v>
      </c>
      <c r="AA60" s="434">
        <f>'[1]Форма.2.4'!AA60</f>
        <v>100</v>
      </c>
      <c r="AB60" s="435">
        <f>'[1]Форма.2.4'!AB60</f>
        <v>2</v>
      </c>
      <c r="AC60" s="133">
        <v>0</v>
      </c>
      <c r="AD60" s="204">
        <f>Z60*(1-0.015)</f>
        <v>0</v>
      </c>
      <c r="AE60" s="434">
        <f>'[1]Форма.2.4'!AE60</f>
        <v>100</v>
      </c>
      <c r="AF60" s="435">
        <f>'[1]Форма.2.4'!AF60</f>
        <v>2</v>
      </c>
      <c r="AG60" s="219">
        <f>IF($M60=0,0,AD60*0.985)</f>
        <v>0</v>
      </c>
      <c r="AH60" s="129">
        <v>100</v>
      </c>
      <c r="AI60" s="123">
        <v>2</v>
      </c>
      <c r="AJ60" s="136"/>
      <c r="AK60" s="294" t="s">
        <v>27</v>
      </c>
      <c r="AL60" s="104"/>
      <c r="AM60" s="122"/>
      <c r="AN60" s="143" t="s">
        <v>164</v>
      </c>
      <c r="AP60" s="282" t="s">
        <v>303</v>
      </c>
    </row>
    <row r="61" spans="1:42" ht="16.5">
      <c r="A61" s="5"/>
      <c r="B61" s="282" t="s">
        <v>363</v>
      </c>
      <c r="C61" s="453">
        <f>'Форма.2.3'!$P$26</f>
        <v>2</v>
      </c>
      <c r="D61" s="405">
        <v>2</v>
      </c>
      <c r="E61" s="405">
        <v>2</v>
      </c>
      <c r="F61" s="405">
        <v>2</v>
      </c>
      <c r="G61" s="405">
        <v>2</v>
      </c>
      <c r="H61" s="405">
        <v>2</v>
      </c>
      <c r="I61" s="131">
        <f>'Форма.2.3'!K26</f>
        <v>0</v>
      </c>
      <c r="J61" s="129">
        <f>IF(AND(I61=0,N61&lt;&gt;0),0,IF(N61=0,100,I61/N61*100))</f>
        <v>100</v>
      </c>
      <c r="K61" s="123">
        <f>IF(J61&lt;80,3,IF(J61&gt;120,1,2))</f>
        <v>2</v>
      </c>
      <c r="L61" s="296"/>
      <c r="M61" s="228">
        <f>'Форма.2.3'!L26</f>
        <v>0</v>
      </c>
      <c r="N61" s="228">
        <f>'Форма.2.3'!M26</f>
        <v>0</v>
      </c>
      <c r="O61" s="434">
        <f>'[1]Форма.2.4'!O61</f>
        <v>100</v>
      </c>
      <c r="P61" s="429">
        <f>'[1]Форма.2.4'!P61</f>
        <v>2</v>
      </c>
      <c r="Q61" s="133">
        <v>0</v>
      </c>
      <c r="R61" s="204">
        <f>N61*(1-0.015)</f>
        <v>0</v>
      </c>
      <c r="S61" s="434">
        <f>'[1]Форма.2.4'!S61</f>
        <v>100</v>
      </c>
      <c r="T61" s="429">
        <f>'[1]Форма.2.4'!T61</f>
        <v>2</v>
      </c>
      <c r="U61" s="133">
        <v>0</v>
      </c>
      <c r="V61" s="204">
        <f>R61*(1-0.015)</f>
        <v>0</v>
      </c>
      <c r="W61" s="434">
        <f>'[1]Форма.2.4'!W61</f>
        <v>100</v>
      </c>
      <c r="X61" s="429">
        <f>'[1]Форма.2.4'!X61</f>
        <v>2</v>
      </c>
      <c r="Y61" s="133">
        <v>0</v>
      </c>
      <c r="Z61" s="204">
        <f>V61*(1-0.015)</f>
        <v>0</v>
      </c>
      <c r="AA61" s="434">
        <f>'[1]Форма.2.4'!AA61</f>
        <v>100</v>
      </c>
      <c r="AB61" s="429">
        <f>'[1]Форма.2.4'!AB61</f>
        <v>2</v>
      </c>
      <c r="AC61" s="133">
        <v>0</v>
      </c>
      <c r="AD61" s="204">
        <f>Z61*(1-0.015)</f>
        <v>0</v>
      </c>
      <c r="AE61" s="434">
        <f>'[1]Форма.2.4'!AE61</f>
        <v>100</v>
      </c>
      <c r="AF61" s="429">
        <f>'[1]Форма.2.4'!AF61</f>
        <v>2</v>
      </c>
      <c r="AG61" s="219">
        <f>IF($M61=0,0,IF($M$61=100,100,$M$61*1.015))</f>
        <v>0</v>
      </c>
      <c r="AH61" s="129">
        <v>100</v>
      </c>
      <c r="AI61" s="123">
        <v>2</v>
      </c>
      <c r="AJ61" s="136"/>
      <c r="AK61" s="294" t="s">
        <v>25</v>
      </c>
      <c r="AL61" s="104"/>
      <c r="AM61" s="122"/>
      <c r="AN61" s="143" t="s">
        <v>165</v>
      </c>
      <c r="AP61" s="282" t="s">
        <v>302</v>
      </c>
    </row>
    <row r="62" spans="1:35" ht="48.75" customHeight="1">
      <c r="A62" s="6"/>
      <c r="B62" s="25" t="s">
        <v>316</v>
      </c>
      <c r="C62" s="462">
        <f aca="true" t="shared" si="6" ref="C62:H62">0.1*C9+0.7*C28+0.2*C42</f>
        <v>0.8975</v>
      </c>
      <c r="D62" s="463">
        <f t="shared" si="6"/>
        <v>0.8975</v>
      </c>
      <c r="E62" s="463">
        <f t="shared" si="6"/>
        <v>0.8975</v>
      </c>
      <c r="F62" s="463">
        <f t="shared" si="6"/>
        <v>0.8975</v>
      </c>
      <c r="G62" s="463">
        <f t="shared" si="6"/>
        <v>0.8975</v>
      </c>
      <c r="H62" s="463">
        <f t="shared" si="6"/>
        <v>0.8975</v>
      </c>
      <c r="K62" s="124" t="e">
        <f>0.1*K9+0.7*K28+0.2*K42</f>
        <v>#REF!</v>
      </c>
      <c r="L62" s="296"/>
      <c r="M62" s="217"/>
      <c r="N62" s="218"/>
      <c r="O62" s="218"/>
      <c r="P62" s="286">
        <f>0.1*P9+0.7*P28+0.2*P42</f>
        <v>0.8975</v>
      </c>
      <c r="Q62" s="114">
        <v>0</v>
      </c>
      <c r="R62" s="217"/>
      <c r="S62" s="218"/>
      <c r="T62" s="286">
        <f>0.1*T9+0.7*T28+0.2*T42</f>
        <v>0.8975</v>
      </c>
      <c r="U62" s="114">
        <v>0</v>
      </c>
      <c r="V62" s="217"/>
      <c r="W62" s="218"/>
      <c r="X62" s="286">
        <f>0.1*X9+0.7*X28+0.2*X42</f>
        <v>0.8975</v>
      </c>
      <c r="Y62" s="114">
        <v>0</v>
      </c>
      <c r="Z62" s="217"/>
      <c r="AA62" s="218"/>
      <c r="AB62" s="286">
        <f>0.1*AB9+0.7*AB28+0.2*AB42</f>
        <v>0.8975</v>
      </c>
      <c r="AC62" s="114">
        <v>0</v>
      </c>
      <c r="AD62" s="217"/>
      <c r="AE62" s="218"/>
      <c r="AF62" s="286">
        <f>0.1*AF9+0.7*AF28+0.2*AF42</f>
        <v>0.8975</v>
      </c>
      <c r="AG62" s="217"/>
      <c r="AH62" s="218"/>
      <c r="AI62" s="124">
        <f>0.1*AI9+0.7*AI28+0.2*AI42</f>
        <v>0.8975</v>
      </c>
    </row>
    <row r="63" spans="1:8" ht="26.25" customHeight="1">
      <c r="A63" s="5"/>
      <c r="B63" s="524" t="s">
        <v>18</v>
      </c>
      <c r="C63" s="524"/>
      <c r="D63" s="524"/>
      <c r="E63" s="524"/>
      <c r="F63" s="524"/>
      <c r="G63" s="524"/>
      <c r="H63" s="5"/>
    </row>
    <row r="64" spans="1:33" ht="26.25" customHeight="1">
      <c r="A64" s="5"/>
      <c r="B64" s="525" t="s">
        <v>19</v>
      </c>
      <c r="C64" s="525"/>
      <c r="D64" s="525"/>
      <c r="E64" s="525"/>
      <c r="F64" s="525"/>
      <c r="G64" s="525"/>
      <c r="H64" s="5"/>
      <c r="X64" s="11" t="str">
        <f>Содержание!$C$26</f>
        <v>Директор</v>
      </c>
      <c r="AA64" s="314" t="s">
        <v>376</v>
      </c>
      <c r="AB64" s="8"/>
      <c r="AC64" s="12"/>
      <c r="AD64" s="162"/>
      <c r="AF64" s="11" t="str">
        <f>Содержание!$G$26</f>
        <v>Осипов Д.С.</v>
      </c>
      <c r="AG64" s="196"/>
    </row>
    <row r="65" spans="1:36" ht="15.75">
      <c r="A65" s="5"/>
      <c r="B65" s="9"/>
      <c r="C65" s="9"/>
      <c r="D65" s="9"/>
      <c r="E65" s="9"/>
      <c r="F65" s="9"/>
      <c r="G65" s="9"/>
      <c r="H65" s="9"/>
      <c r="X65" s="33" t="s">
        <v>8</v>
      </c>
      <c r="Z65" s="277"/>
      <c r="AA65" s="33" t="s">
        <v>9</v>
      </c>
      <c r="AB65" s="197"/>
      <c r="AC65" s="106"/>
      <c r="AD65" s="341"/>
      <c r="AE65" s="33" t="s">
        <v>20</v>
      </c>
      <c r="AF65" s="33"/>
      <c r="AG65" s="125" t="s">
        <v>9</v>
      </c>
      <c r="AH65" s="277"/>
      <c r="AI65" s="277"/>
      <c r="AJ65" s="106"/>
    </row>
    <row r="67" spans="1:2" ht="15.75">
      <c r="A67" s="274"/>
      <c r="B67" s="464" t="s">
        <v>270</v>
      </c>
    </row>
  </sheetData>
  <sheetProtection password="CA0A" sheet="1" formatCells="0" formatColumns="0" formatRows="0"/>
  <mergeCells count="35">
    <mergeCell ref="AG4:AI4"/>
    <mergeCell ref="AH5:AH8"/>
    <mergeCell ref="AI5:AI8"/>
    <mergeCell ref="AG6:AG8"/>
    <mergeCell ref="AD4:AF4"/>
    <mergeCell ref="AE5:AE8"/>
    <mergeCell ref="AF5:AF8"/>
    <mergeCell ref="I1:K2"/>
    <mergeCell ref="Z4:AB4"/>
    <mergeCell ref="AA5:AA8"/>
    <mergeCell ref="AB5:AB8"/>
    <mergeCell ref="Z6:Z8"/>
    <mergeCell ref="J5:J8"/>
    <mergeCell ref="V4:X4"/>
    <mergeCell ref="R4:T4"/>
    <mergeCell ref="I6:I8"/>
    <mergeCell ref="O5:O8"/>
    <mergeCell ref="AK5:AK8"/>
    <mergeCell ref="AN6:AN8"/>
    <mergeCell ref="W5:W8"/>
    <mergeCell ref="X5:X8"/>
    <mergeCell ref="R6:R8"/>
    <mergeCell ref="V6:V8"/>
    <mergeCell ref="T5:T8"/>
    <mergeCell ref="S5:S8"/>
    <mergeCell ref="AD6:AD8"/>
    <mergeCell ref="N4:P4"/>
    <mergeCell ref="B63:G63"/>
    <mergeCell ref="B64:G64"/>
    <mergeCell ref="M6:M8"/>
    <mergeCell ref="N6:N8"/>
    <mergeCell ref="P5:P8"/>
    <mergeCell ref="I4:K4"/>
    <mergeCell ref="K5:K8"/>
    <mergeCell ref="B7:B8"/>
  </mergeCells>
  <printOptions horizontalCentered="1"/>
  <pageMargins left="0.2362204724409449" right="0.17" top="0.2362204724409449" bottom="0.2362204724409449" header="0.15748031496062992" footer="0.15748031496062992"/>
  <pageSetup horizontalDpi="600" verticalDpi="600" orientation="portrait" paperSize="9" scale="73" r:id="rId1"/>
  <headerFooter alignWithMargins="0">
    <oddHeader>&amp;R&amp;8&amp;P</oddHeader>
    <oddFooter>&amp;L&amp;8&amp;F    &amp;A</oddFooter>
  </headerFooter>
  <colBreaks count="2" manualBreakCount="2">
    <brk id="17" max="65535" man="1"/>
    <brk id="36" max="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H16" sqref="H16"/>
    </sheetView>
  </sheetViews>
  <sheetFormatPr defaultColWidth="9.00390625" defaultRowHeight="15.75"/>
  <cols>
    <col min="1" max="1" width="0.875" style="127" customWidth="1"/>
    <col min="2" max="2" width="2.75390625" style="154" bestFit="1" customWidth="1"/>
    <col min="3" max="3" width="67.25390625" style="154" customWidth="1"/>
    <col min="4" max="4" width="13.00390625" style="154" customWidth="1"/>
    <col min="5" max="5" width="0.875" style="154" customWidth="1"/>
    <col min="6" max="6" width="0.875" style="127" customWidth="1"/>
    <col min="7" max="16384" width="9.00390625" style="154" customWidth="1"/>
  </cols>
  <sheetData>
    <row r="1" spans="3:4" ht="16.5" customHeight="1">
      <c r="C1" s="551" t="str">
        <f>"Форма  3.1  -  Отчетные  данные для расчета значения показателя качества
 рассмотрения заявок на технологическое присоединение к сети в период за "&amp;Содержание!I5&amp;" год"</f>
        <v>Форма  3.1  -  Отчетные  данные для расчета значения показателя качества
 рассмотрения заявок на технологическое присоединение к сети в период за 2017 год</v>
      </c>
      <c r="D1" s="551"/>
    </row>
    <row r="2" spans="3:4" ht="16.5" customHeight="1">
      <c r="C2" s="551"/>
      <c r="D2" s="551"/>
    </row>
    <row r="3" spans="3:4" s="28" customFormat="1" ht="5.25">
      <c r="C3" s="332"/>
      <c r="D3" s="332"/>
    </row>
    <row r="4" ht="15.75">
      <c r="C4" s="32" t="str">
        <f>Содержание!$C$5</f>
        <v>ООО "Томские электрические сети"</v>
      </c>
    </row>
    <row r="5" ht="15.75">
      <c r="C5" s="3" t="s">
        <v>15</v>
      </c>
    </row>
    <row r="6" spans="1:6" s="31" customFormat="1" ht="15.75">
      <c r="A6" s="127"/>
      <c r="B6" s="333" t="s">
        <v>10</v>
      </c>
      <c r="C6" s="316" t="s">
        <v>264</v>
      </c>
      <c r="D6" s="316" t="s">
        <v>207</v>
      </c>
      <c r="F6" s="127"/>
    </row>
    <row r="7" spans="1:6" s="31" customFormat="1" ht="15.75">
      <c r="A7" s="127"/>
      <c r="B7" s="333">
        <v>1</v>
      </c>
      <c r="C7" s="333">
        <v>2</v>
      </c>
      <c r="D7" s="333">
        <v>3</v>
      </c>
      <c r="F7" s="127"/>
    </row>
    <row r="8" spans="1:6" s="31" customFormat="1" ht="81.75">
      <c r="A8" s="127"/>
      <c r="B8" s="316" t="s">
        <v>177</v>
      </c>
      <c r="C8" s="318" t="s">
        <v>259</v>
      </c>
      <c r="D8" s="440">
        <v>51</v>
      </c>
      <c r="F8" s="127"/>
    </row>
    <row r="9" spans="1:6" s="31" customFormat="1" ht="99">
      <c r="A9" s="127"/>
      <c r="B9" s="316" t="s">
        <v>174</v>
      </c>
      <c r="C9" s="318" t="s">
        <v>260</v>
      </c>
      <c r="D9" s="440">
        <v>0</v>
      </c>
      <c r="F9" s="127"/>
    </row>
    <row r="10" spans="1:6" s="31" customFormat="1" ht="38.25" customHeight="1">
      <c r="A10" s="127"/>
      <c r="B10" s="316" t="s">
        <v>178</v>
      </c>
      <c r="C10" s="318" t="s">
        <v>258</v>
      </c>
      <c r="D10" s="441">
        <f>IF(D8=0,1,D8/MAX(1,(D8-D9)))</f>
        <v>1</v>
      </c>
      <c r="F10" s="127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15.75">
      <c r="A12" s="334"/>
      <c r="C12" s="392" t="str">
        <f>Содержание!$C$26</f>
        <v>Директор</v>
      </c>
      <c r="D12" s="11" t="str">
        <f>Содержание!$G$26</f>
        <v>Осипов Д.С.</v>
      </c>
      <c r="E12" s="30"/>
      <c r="F12" s="30"/>
      <c r="G12" s="334"/>
    </row>
    <row r="13" spans="1:7" s="31" customFormat="1" ht="15.75">
      <c r="A13" s="334"/>
      <c r="C13" s="33" t="s">
        <v>204</v>
      </c>
      <c r="D13" s="33" t="s">
        <v>20</v>
      </c>
      <c r="E13" s="30"/>
      <c r="F13" s="30"/>
      <c r="G13" s="334"/>
    </row>
    <row r="14" s="334" customFormat="1" ht="5.25"/>
    <row r="15" spans="1:7" s="31" customFormat="1" ht="15.75">
      <c r="A15" s="334"/>
      <c r="E15" s="334"/>
      <c r="G15" s="334"/>
    </row>
    <row r="34" spans="1:6" s="338" customFormat="1" ht="15.75">
      <c r="A34" s="337"/>
      <c r="C34" s="8" t="e">
        <f>Содержание!#REF!</f>
        <v>#REF!</v>
      </c>
      <c r="F34" s="10" t="str">
        <f>Содержание!$G$26</f>
        <v>Осипов Д.С.</v>
      </c>
    </row>
    <row r="35" spans="3:6" ht="36.75">
      <c r="C35" s="125" t="s">
        <v>8</v>
      </c>
      <c r="F35" s="289" t="s">
        <v>20</v>
      </c>
    </row>
  </sheetData>
  <sheetProtection password="CA0A" sheet="1"/>
  <mergeCells count="1">
    <mergeCell ref="C1:D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Санников В.М.</dc:creator>
  <cp:keywords/>
  <dc:description/>
  <cp:lastModifiedBy>Артём</cp:lastModifiedBy>
  <cp:lastPrinted>2015-11-19T11:32:07Z</cp:lastPrinted>
  <dcterms:created xsi:type="dcterms:W3CDTF">2011-04-11T09:46:15Z</dcterms:created>
  <dcterms:modified xsi:type="dcterms:W3CDTF">2018-04-24T11:30:59Z</dcterms:modified>
  <cp:category/>
  <cp:version/>
  <cp:contentType/>
  <cp:contentStatus/>
</cp:coreProperties>
</file>